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2wps\Downloads\"/>
    </mc:Choice>
  </mc:AlternateContent>
  <xr:revisionPtr revIDLastSave="0" documentId="13_ncr:1_{A738BA6A-12F6-44CE-9AD4-C5CBF685CFBD}" xr6:coauthVersionLast="47" xr6:coauthVersionMax="47" xr10:uidLastSave="{00000000-0000-0000-0000-000000000000}"/>
  <bookViews>
    <workbookView xWindow="19635" yWindow="-16320" windowWidth="29040" windowHeight="15720" xr2:uid="{41136B2A-E205-403A-B25C-E158338345A3}"/>
  </bookViews>
  <sheets>
    <sheet name="연결IS " sheetId="2" r:id="rId1"/>
    <sheet name="연결BS" sheetId="4" r:id="rId2"/>
    <sheet name="별도IS" sheetId="3" r:id="rId3"/>
    <sheet name="별도B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T4" i="2"/>
  <c r="S4" i="2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4" i="4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4" i="5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1" i="3"/>
  <c r="T10" i="3"/>
  <c r="T9" i="3"/>
  <c r="T8" i="3"/>
  <c r="T6" i="3"/>
  <c r="T4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1" i="3"/>
  <c r="S10" i="3"/>
  <c r="S9" i="3"/>
  <c r="S8" i="3"/>
  <c r="S6" i="3"/>
  <c r="S4" i="3"/>
  <c r="O23" i="3"/>
  <c r="O29" i="3"/>
  <c r="O25" i="3"/>
  <c r="O21" i="3"/>
  <c r="O14" i="3"/>
  <c r="C5" i="3"/>
  <c r="D5" i="3"/>
  <c r="E5" i="3"/>
  <c r="F5" i="3"/>
  <c r="G5" i="3"/>
  <c r="H5" i="3"/>
  <c r="I5" i="3"/>
  <c r="J5" i="3"/>
  <c r="K5" i="3"/>
  <c r="L5" i="3"/>
  <c r="M5" i="3"/>
  <c r="N5" i="3"/>
  <c r="O6" i="3"/>
  <c r="O7" i="3"/>
  <c r="S7" i="3" s="1"/>
  <c r="C9" i="3"/>
  <c r="D9" i="3"/>
  <c r="E9" i="3"/>
  <c r="F9" i="3"/>
  <c r="G9" i="3"/>
  <c r="H9" i="3"/>
  <c r="I9" i="3"/>
  <c r="J9" i="3"/>
  <c r="K9" i="3"/>
  <c r="K4" i="3" s="1"/>
  <c r="K23" i="3" s="1"/>
  <c r="L9" i="3"/>
  <c r="M9" i="3"/>
  <c r="N9" i="3"/>
  <c r="O9" i="3"/>
  <c r="M13" i="3"/>
  <c r="C14" i="3"/>
  <c r="C13" i="3" s="1"/>
  <c r="D14" i="3"/>
  <c r="D13" i="3" s="1"/>
  <c r="E14" i="3"/>
  <c r="E13" i="3" s="1"/>
  <c r="F14" i="3"/>
  <c r="F13" i="3" s="1"/>
  <c r="G14" i="3"/>
  <c r="G13" i="3" s="1"/>
  <c r="H14" i="3"/>
  <c r="H13" i="3" s="1"/>
  <c r="I14" i="3"/>
  <c r="J14" i="3"/>
  <c r="J13" i="3" s="1"/>
  <c r="L14" i="3"/>
  <c r="M14" i="3"/>
  <c r="N14" i="3"/>
  <c r="N22" i="3" s="1"/>
  <c r="K16" i="3"/>
  <c r="K14" i="3" s="1"/>
  <c r="K21" i="3"/>
  <c r="L23" i="3"/>
  <c r="L32" i="3" s="1"/>
  <c r="L34" i="3" s="1"/>
  <c r="L36" i="3" s="1"/>
  <c r="M24" i="3"/>
  <c r="C25" i="3"/>
  <c r="D25" i="3"/>
  <c r="E25" i="3"/>
  <c r="F25" i="3"/>
  <c r="G25" i="3"/>
  <c r="H25" i="3"/>
  <c r="I25" i="3"/>
  <c r="J25" i="3"/>
  <c r="K25" i="3"/>
  <c r="L25" i="3"/>
  <c r="N25" i="3"/>
  <c r="M27" i="3"/>
  <c r="M28" i="3"/>
  <c r="C29" i="3"/>
  <c r="D29" i="3"/>
  <c r="E29" i="3"/>
  <c r="F29" i="3"/>
  <c r="G29" i="3"/>
  <c r="H29" i="3"/>
  <c r="I29" i="3"/>
  <c r="J29" i="3"/>
  <c r="K29" i="3"/>
  <c r="L29" i="3"/>
  <c r="M29" i="3"/>
  <c r="M31" i="3" s="1"/>
  <c r="N29" i="3"/>
  <c r="T7" i="3" l="1"/>
  <c r="O5" i="3"/>
  <c r="S5" i="3" s="1"/>
  <c r="O32" i="3"/>
  <c r="O34" i="3" s="1"/>
  <c r="O36" i="3" s="1"/>
  <c r="O24" i="3"/>
  <c r="O22" i="3"/>
  <c r="H4" i="3"/>
  <c r="G4" i="3"/>
  <c r="G23" i="3" s="1"/>
  <c r="G32" i="3" s="1"/>
  <c r="G34" i="3" s="1"/>
  <c r="G36" i="3" s="1"/>
  <c r="L24" i="3"/>
  <c r="J4" i="3"/>
  <c r="J23" i="3" s="1"/>
  <c r="J24" i="3" s="1"/>
  <c r="C4" i="3"/>
  <c r="C23" i="3" s="1"/>
  <c r="M25" i="3"/>
  <c r="M32" i="3" s="1"/>
  <c r="H23" i="3"/>
  <c r="I13" i="3"/>
  <c r="I4" i="3"/>
  <c r="I23" i="3" s="1"/>
  <c r="I24" i="3" s="1"/>
  <c r="O12" i="3"/>
  <c r="F4" i="3"/>
  <c r="F23" i="3" s="1"/>
  <c r="F24" i="3" s="1"/>
  <c r="L12" i="3"/>
  <c r="E4" i="3"/>
  <c r="E23" i="3" s="1"/>
  <c r="E32" i="3" s="1"/>
  <c r="E34" i="3" s="1"/>
  <c r="E36" i="3" s="1"/>
  <c r="D4" i="3"/>
  <c r="D23" i="3" s="1"/>
  <c r="D24" i="3" s="1"/>
  <c r="M12" i="3"/>
  <c r="H32" i="3"/>
  <c r="H34" i="3" s="1"/>
  <c r="H36" i="3" s="1"/>
  <c r="H24" i="3"/>
  <c r="K32" i="3"/>
  <c r="K34" i="3" s="1"/>
  <c r="K36" i="3" s="1"/>
  <c r="K24" i="3"/>
  <c r="N23" i="3"/>
  <c r="S12" i="3" l="1"/>
  <c r="T12" i="3"/>
  <c r="T5" i="3"/>
  <c r="I32" i="3"/>
  <c r="I34" i="3" s="1"/>
  <c r="I36" i="3" s="1"/>
  <c r="E24" i="3"/>
  <c r="F32" i="3"/>
  <c r="F34" i="3" s="1"/>
  <c r="F36" i="3" s="1"/>
  <c r="G24" i="3"/>
  <c r="J32" i="3"/>
  <c r="J34" i="3" s="1"/>
  <c r="J36" i="3" s="1"/>
  <c r="D32" i="3"/>
  <c r="D34" i="3" s="1"/>
  <c r="D36" i="3" s="1"/>
  <c r="N24" i="3"/>
  <c r="N32" i="3"/>
  <c r="N34" i="3" s="1"/>
  <c r="N36" i="3" s="1"/>
  <c r="M34" i="3"/>
  <c r="C32" i="3"/>
  <c r="C34" i="3" s="1"/>
  <c r="C36" i="3" s="1"/>
  <c r="C24" i="3"/>
  <c r="M36" i="3" l="1"/>
  <c r="N26" i="2" l="1"/>
  <c r="N24" i="2"/>
  <c r="N25" i="2" s="1"/>
  <c r="N29" i="2" l="1"/>
  <c r="N32" i="2" s="1"/>
  <c r="N34" i="2" s="1"/>
  <c r="N36" i="2" s="1"/>
  <c r="N38" i="2" s="1"/>
  <c r="O22" i="2" l="1"/>
  <c r="N9" i="2" l="1"/>
  <c r="N5" i="2"/>
  <c r="N14" i="2" l="1"/>
  <c r="N23" i="2" s="1"/>
  <c r="O38" i="2" l="1"/>
  <c r="O29" i="2"/>
  <c r="O26" i="2"/>
  <c r="O24" i="2"/>
  <c r="O14" i="2"/>
  <c r="O23" i="2" l="1"/>
  <c r="O32" i="2"/>
  <c r="O34" i="2" s="1"/>
  <c r="O25" i="2"/>
  <c r="O9" i="2" l="1"/>
  <c r="O5" i="2"/>
  <c r="O6" i="2"/>
  <c r="S5" i="2" l="1"/>
  <c r="T5" i="2"/>
  <c r="O29" i="4"/>
  <c r="O30" i="4" s="1"/>
  <c r="O23" i="4"/>
  <c r="O19" i="4"/>
  <c r="O13" i="4"/>
  <c r="O8" i="4"/>
  <c r="N29" i="4"/>
  <c r="N30" i="4" s="1"/>
  <c r="N23" i="4"/>
  <c r="N19" i="4"/>
  <c r="N14" i="4"/>
  <c r="L13" i="4"/>
  <c r="M13" i="4"/>
  <c r="N13" i="4"/>
  <c r="N8" i="4"/>
  <c r="O30" i="5" l="1"/>
  <c r="O31" i="5" s="1"/>
  <c r="O25" i="5"/>
  <c r="O24" i="5"/>
  <c r="O20" i="5"/>
  <c r="O15" i="5"/>
  <c r="O14" i="5"/>
  <c r="O8" i="5"/>
  <c r="N8" i="5"/>
  <c r="N30" i="5"/>
  <c r="N25" i="5"/>
  <c r="N31" i="5" s="1"/>
  <c r="N24" i="5"/>
  <c r="N20" i="5"/>
  <c r="N15" i="5"/>
  <c r="N14" i="5"/>
  <c r="M25" i="5" l="1"/>
  <c r="M24" i="5"/>
  <c r="M20" i="5"/>
  <c r="M15" i="5"/>
  <c r="M8" i="5"/>
  <c r="M38" i="2"/>
  <c r="M29" i="2"/>
  <c r="M26" i="2"/>
  <c r="M24" i="2"/>
  <c r="M18" i="2"/>
  <c r="M11" i="2"/>
  <c r="M10" i="2"/>
  <c r="M8" i="2"/>
  <c r="M7" i="2"/>
  <c r="M6" i="2"/>
  <c r="L8" i="2"/>
  <c r="L7" i="2"/>
  <c r="K8" i="2"/>
  <c r="K7" i="2"/>
  <c r="J5" i="2"/>
  <c r="I5" i="2"/>
  <c r="H5" i="2"/>
  <c r="G5" i="2"/>
  <c r="F5" i="2"/>
  <c r="E5" i="2"/>
  <c r="D5" i="2"/>
  <c r="C5" i="2"/>
  <c r="M9" i="2" l="1"/>
  <c r="M25" i="2"/>
  <c r="M32" i="2"/>
  <c r="M14" i="2"/>
  <c r="M5" i="2"/>
  <c r="M34" i="2" l="1"/>
  <c r="M23" i="2"/>
  <c r="M12" i="2"/>
  <c r="M14" i="5" l="1"/>
  <c r="M30" i="5" l="1"/>
  <c r="M31" i="5" l="1"/>
  <c r="L26" i="2"/>
  <c r="L18" i="2"/>
  <c r="L14" i="2"/>
  <c r="L4" i="2"/>
  <c r="L11" i="2"/>
  <c r="L10" i="2"/>
  <c r="L6" i="2"/>
  <c r="L24" i="4"/>
  <c r="L29" i="4"/>
  <c r="L23" i="4"/>
  <c r="L19" i="4"/>
  <c r="L14" i="4"/>
  <c r="L5" i="2" l="1"/>
  <c r="L9" i="2"/>
  <c r="L24" i="2"/>
  <c r="L29" i="2"/>
  <c r="L30" i="4"/>
  <c r="L25" i="2" l="1"/>
  <c r="L12" i="2"/>
  <c r="L32" i="2"/>
  <c r="L34" i="2" l="1"/>
  <c r="L36" i="2" l="1"/>
  <c r="L38" i="2" l="1"/>
  <c r="L30" i="5" l="1"/>
  <c r="L25" i="5"/>
  <c r="L24" i="5"/>
  <c r="L20" i="5"/>
  <c r="L15" i="5"/>
  <c r="L14" i="5"/>
  <c r="L8" i="5"/>
  <c r="L31" i="5" l="1"/>
  <c r="K24" i="2"/>
  <c r="K18" i="2"/>
  <c r="K10" i="2"/>
  <c r="K11" i="2"/>
  <c r="K6" i="2"/>
  <c r="K29" i="4"/>
  <c r="K30" i="4" s="1"/>
  <c r="K23" i="4"/>
  <c r="K19" i="4"/>
  <c r="K14" i="4"/>
  <c r="K13" i="4"/>
  <c r="K8" i="4"/>
  <c r="K5" i="2" l="1"/>
  <c r="K16" i="2"/>
  <c r="K14" i="2" s="1"/>
  <c r="K25" i="2"/>
  <c r="K9" i="2"/>
  <c r="K32" i="2"/>
  <c r="K34" i="2" l="1"/>
  <c r="K36" i="2" l="1"/>
  <c r="K38" i="2" l="1"/>
  <c r="K30" i="5"/>
  <c r="K25" i="5"/>
  <c r="K24" i="5"/>
  <c r="K20" i="5"/>
  <c r="K15" i="5"/>
  <c r="K14" i="5"/>
  <c r="K8" i="5"/>
  <c r="I10" i="2"/>
  <c r="J9" i="4"/>
  <c r="J4" i="4"/>
  <c r="K31" i="5" l="1"/>
  <c r="I9" i="4"/>
  <c r="H9" i="4"/>
  <c r="G9" i="4"/>
  <c r="F9" i="4"/>
  <c r="E9" i="4"/>
  <c r="D9" i="4"/>
  <c r="C9" i="4"/>
  <c r="J16" i="5"/>
  <c r="J9" i="5"/>
  <c r="D30" i="5" l="1"/>
  <c r="E30" i="5"/>
  <c r="F30" i="5"/>
  <c r="G30" i="5"/>
  <c r="H30" i="5"/>
  <c r="I30" i="5"/>
  <c r="J30" i="5"/>
  <c r="C30" i="5"/>
  <c r="D21" i="5"/>
  <c r="E21" i="5"/>
  <c r="F21" i="5"/>
  <c r="G21" i="5"/>
  <c r="H21" i="5"/>
  <c r="I21" i="5"/>
  <c r="J21" i="5"/>
  <c r="C21" i="5"/>
  <c r="D16" i="5"/>
  <c r="E16" i="5"/>
  <c r="F16" i="5"/>
  <c r="G16" i="5"/>
  <c r="H16" i="5"/>
  <c r="I16" i="5"/>
  <c r="C16" i="5"/>
  <c r="D9" i="5"/>
  <c r="E9" i="5"/>
  <c r="F9" i="5"/>
  <c r="G9" i="5"/>
  <c r="H9" i="5"/>
  <c r="I9" i="5"/>
  <c r="C9" i="5"/>
  <c r="D4" i="5"/>
  <c r="D15" i="5" s="1"/>
  <c r="E4" i="5"/>
  <c r="E15" i="5" s="1"/>
  <c r="F4" i="5"/>
  <c r="G4" i="5"/>
  <c r="H4" i="5"/>
  <c r="I4" i="5"/>
  <c r="J4" i="5"/>
  <c r="C4" i="5"/>
  <c r="D29" i="4"/>
  <c r="E29" i="4"/>
  <c r="F29" i="4"/>
  <c r="G29" i="4"/>
  <c r="H29" i="4"/>
  <c r="I29" i="4"/>
  <c r="J29" i="4"/>
  <c r="C29" i="4"/>
  <c r="D20" i="4"/>
  <c r="E20" i="4"/>
  <c r="F20" i="4"/>
  <c r="G20" i="4"/>
  <c r="H20" i="4"/>
  <c r="I20" i="4"/>
  <c r="J20" i="4"/>
  <c r="C20" i="4"/>
  <c r="D15" i="4"/>
  <c r="E15" i="4"/>
  <c r="F15" i="4"/>
  <c r="G15" i="4"/>
  <c r="H15" i="4"/>
  <c r="H24" i="4" s="1"/>
  <c r="I15" i="4"/>
  <c r="J15" i="4"/>
  <c r="C15" i="4"/>
  <c r="C24" i="4" s="1"/>
  <c r="D4" i="4"/>
  <c r="D14" i="4" s="1"/>
  <c r="E4" i="4"/>
  <c r="E14" i="4" s="1"/>
  <c r="F4" i="4"/>
  <c r="G4" i="4"/>
  <c r="H4" i="4"/>
  <c r="H14" i="4" s="1"/>
  <c r="I4" i="4"/>
  <c r="C4" i="4"/>
  <c r="C14" i="4" s="1"/>
  <c r="I24" i="4" l="1"/>
  <c r="E24" i="4"/>
  <c r="D24" i="4"/>
  <c r="C15" i="5"/>
  <c r="H25" i="5"/>
  <c r="H31" i="5" s="1"/>
  <c r="I15" i="5"/>
  <c r="F25" i="5"/>
  <c r="F31" i="5" s="1"/>
  <c r="I25" i="5"/>
  <c r="G25" i="5"/>
  <c r="G31" i="5" s="1"/>
  <c r="H15" i="5"/>
  <c r="E25" i="5"/>
  <c r="E31" i="5" s="1"/>
  <c r="G15" i="5"/>
  <c r="F15" i="5"/>
  <c r="D25" i="5"/>
  <c r="D31" i="5" s="1"/>
  <c r="J24" i="4"/>
  <c r="G14" i="4"/>
  <c r="G24" i="4"/>
  <c r="C25" i="5"/>
  <c r="C31" i="5" s="1"/>
  <c r="J25" i="5"/>
  <c r="J31" i="5" s="1"/>
  <c r="E30" i="4"/>
  <c r="C30" i="4"/>
  <c r="H30" i="4"/>
  <c r="D30" i="4"/>
  <c r="I30" i="4"/>
  <c r="J14" i="4"/>
  <c r="F24" i="4"/>
  <c r="J30" i="4"/>
  <c r="J15" i="5"/>
  <c r="I14" i="4"/>
  <c r="F14" i="4"/>
  <c r="I31" i="5" l="1"/>
  <c r="G30" i="4"/>
  <c r="F30" i="4"/>
  <c r="F29" i="2" l="1"/>
  <c r="E29" i="2"/>
  <c r="D29" i="2"/>
  <c r="C29" i="2"/>
  <c r="F26" i="2"/>
  <c r="E26" i="2"/>
  <c r="D26" i="2"/>
  <c r="C26" i="2"/>
  <c r="I14" i="2"/>
  <c r="H14" i="2"/>
  <c r="G14" i="2"/>
  <c r="G23" i="2" s="1"/>
  <c r="F14" i="2"/>
  <c r="F13" i="2" s="1"/>
  <c r="E14" i="2"/>
  <c r="E13" i="2" s="1"/>
  <c r="D14" i="2"/>
  <c r="D13" i="2" s="1"/>
  <c r="C14" i="2"/>
  <c r="C13" i="2" s="1"/>
  <c r="D11" i="2"/>
  <c r="D10" i="2" s="1"/>
  <c r="D9" i="2" s="1"/>
  <c r="H9" i="2"/>
  <c r="G9" i="2"/>
  <c r="C10" i="2"/>
  <c r="C9" i="2" s="1"/>
  <c r="J9" i="2"/>
  <c r="I23" i="2" l="1"/>
  <c r="H23" i="2"/>
  <c r="C4" i="2"/>
  <c r="C24" i="2" s="1"/>
  <c r="C32" i="2" s="1"/>
  <c r="C34" i="2" s="1"/>
  <c r="C38" i="2" s="1"/>
  <c r="H4" i="2"/>
  <c r="G4" i="2"/>
  <c r="I9" i="2"/>
  <c r="J4" i="2"/>
  <c r="J14" i="2"/>
  <c r="J23" i="2" s="1"/>
  <c r="D4" i="2"/>
  <c r="D24" i="2" s="1"/>
  <c r="E11" i="2"/>
  <c r="I4" i="2" l="1"/>
  <c r="H24" i="2"/>
  <c r="G24" i="2"/>
  <c r="G32" i="2" s="1"/>
  <c r="H25" i="2"/>
  <c r="C25" i="2"/>
  <c r="E10" i="2"/>
  <c r="E9" i="2" s="1"/>
  <c r="E4" i="2" s="1"/>
  <c r="E24" i="2" s="1"/>
  <c r="F11" i="2"/>
  <c r="D32" i="2"/>
  <c r="D34" i="2" s="1"/>
  <c r="D38" i="2" s="1"/>
  <c r="D25" i="2"/>
  <c r="I24" i="2" l="1"/>
  <c r="I25" i="2" s="1"/>
  <c r="I32" i="2"/>
  <c r="H32" i="2"/>
  <c r="G34" i="2"/>
  <c r="G36" i="2" s="1"/>
  <c r="G38" i="2" s="1"/>
  <c r="G25" i="2"/>
  <c r="F10" i="2"/>
  <c r="J24" i="2"/>
  <c r="E25" i="2"/>
  <c r="E32" i="2"/>
  <c r="E34" i="2" s="1"/>
  <c r="E38" i="2" s="1"/>
  <c r="I34" i="2" l="1"/>
  <c r="H34" i="2"/>
  <c r="J25" i="2"/>
  <c r="J32" i="2"/>
  <c r="F9" i="2"/>
  <c r="I36" i="2" l="1"/>
  <c r="H36" i="2"/>
  <c r="F4" i="2"/>
  <c r="J34" i="2"/>
  <c r="I38" i="2" l="1"/>
  <c r="H38" i="2"/>
  <c r="J36" i="2"/>
  <c r="J38" i="2" s="1"/>
  <c r="F24" i="2"/>
  <c r="F32" i="2" l="1"/>
  <c r="F25" i="2"/>
  <c r="F34" i="2" l="1"/>
  <c r="F38" i="2" l="1"/>
</calcChain>
</file>

<file path=xl/sharedStrings.xml><?xml version="1.0" encoding="utf-8"?>
<sst xmlns="http://schemas.openxmlformats.org/spreadsheetml/2006/main" count="203" uniqueCount="87">
  <si>
    <t>연결손익계산서(IFRS)</t>
    <phoneticPr fontId="2" type="noConversion"/>
  </si>
  <si>
    <t>(백만원)</t>
    <phoneticPr fontId="2" type="noConversion"/>
  </si>
  <si>
    <t>1Q22</t>
    <phoneticPr fontId="2" type="noConversion"/>
  </si>
  <si>
    <t>2Q22</t>
    <phoneticPr fontId="2" type="noConversion"/>
  </si>
  <si>
    <t>3Q22</t>
    <phoneticPr fontId="2" type="noConversion"/>
  </si>
  <si>
    <t>4Q22</t>
    <phoneticPr fontId="2" type="noConversion"/>
  </si>
  <si>
    <t>1Q23</t>
  </si>
  <si>
    <t>2Q23</t>
  </si>
  <si>
    <t>3Q23</t>
  </si>
  <si>
    <t>4Q23</t>
  </si>
  <si>
    <t>영업수익</t>
    <phoneticPr fontId="2" type="noConversion"/>
  </si>
  <si>
    <t>모바일 포인트 광고</t>
    <phoneticPr fontId="2" type="noConversion"/>
  </si>
  <si>
    <t>B2C</t>
    <phoneticPr fontId="2" type="noConversion"/>
  </si>
  <si>
    <t>B2B</t>
    <phoneticPr fontId="2" type="noConversion"/>
  </si>
  <si>
    <t>모바일 포인트 쇼핑</t>
    <phoneticPr fontId="2" type="noConversion"/>
  </si>
  <si>
    <t>기타</t>
    <phoneticPr fontId="2" type="noConversion"/>
  </si>
  <si>
    <t>영업비용</t>
    <phoneticPr fontId="2" type="noConversion"/>
  </si>
  <si>
    <t>대행사수수료</t>
    <phoneticPr fontId="2" type="noConversion"/>
  </si>
  <si>
    <t>포인트지급수수료</t>
    <phoneticPr fontId="2" type="noConversion"/>
  </si>
  <si>
    <t>매체사지급수수료</t>
    <phoneticPr fontId="2" type="noConversion"/>
  </si>
  <si>
    <t>인건비</t>
    <phoneticPr fontId="2" type="noConversion"/>
  </si>
  <si>
    <t>인프라</t>
    <phoneticPr fontId="2" type="noConversion"/>
  </si>
  <si>
    <t>수수료</t>
    <phoneticPr fontId="2" type="noConversion"/>
  </si>
  <si>
    <t>영업이익</t>
    <phoneticPr fontId="2" type="noConversion"/>
  </si>
  <si>
    <t>영업이익율</t>
    <phoneticPr fontId="2" type="noConversion"/>
  </si>
  <si>
    <t>영업외수익</t>
    <phoneticPr fontId="2" type="noConversion"/>
  </si>
  <si>
    <t>기타이익</t>
    <phoneticPr fontId="2" type="noConversion"/>
  </si>
  <si>
    <t>금융수익</t>
    <phoneticPr fontId="2" type="noConversion"/>
  </si>
  <si>
    <t>지분법이익</t>
    <phoneticPr fontId="2" type="noConversion"/>
  </si>
  <si>
    <t>영업외비용</t>
    <phoneticPr fontId="2" type="noConversion"/>
  </si>
  <si>
    <t>기타손실</t>
    <phoneticPr fontId="2" type="noConversion"/>
  </si>
  <si>
    <t>금융비용</t>
    <phoneticPr fontId="2" type="noConversion"/>
  </si>
  <si>
    <t>법인세차감전순이익</t>
    <phoneticPr fontId="2" type="noConversion"/>
  </si>
  <si>
    <t>법인세비용</t>
    <phoneticPr fontId="2" type="noConversion"/>
  </si>
  <si>
    <t>당기순이익</t>
    <phoneticPr fontId="2" type="noConversion"/>
  </si>
  <si>
    <t>기타포괄손익</t>
    <phoneticPr fontId="2" type="noConversion"/>
  </si>
  <si>
    <t>총포괄이익</t>
    <phoneticPr fontId="2" type="noConversion"/>
  </si>
  <si>
    <t>모바일 포인트 쇼핑원가</t>
    <phoneticPr fontId="2" type="noConversion"/>
  </si>
  <si>
    <t>광고대행, 제작 비용</t>
    <phoneticPr fontId="2" type="noConversion"/>
  </si>
  <si>
    <t>광고대행, 제작, 기타</t>
    <phoneticPr fontId="2" type="noConversion"/>
  </si>
  <si>
    <t>Y/Y</t>
    <phoneticPr fontId="2" type="noConversion"/>
  </si>
  <si>
    <t>Q/Q</t>
    <phoneticPr fontId="2" type="noConversion"/>
  </si>
  <si>
    <t>별도손익계산서(IFRS)</t>
    <phoneticPr fontId="2" type="noConversion"/>
  </si>
  <si>
    <t>유동자산</t>
    <phoneticPr fontId="2" type="noConversion"/>
  </si>
  <si>
    <t>현금및현금성자산</t>
    <phoneticPr fontId="2" type="noConversion"/>
  </si>
  <si>
    <t>기타유동자산</t>
    <phoneticPr fontId="2" type="noConversion"/>
  </si>
  <si>
    <t>비유동자산</t>
    <phoneticPr fontId="2" type="noConversion"/>
  </si>
  <si>
    <t>유형자산</t>
    <phoneticPr fontId="2" type="noConversion"/>
  </si>
  <si>
    <t>무형자산</t>
    <phoneticPr fontId="2" type="noConversion"/>
  </si>
  <si>
    <t>기타비유동자산</t>
    <phoneticPr fontId="2" type="noConversion"/>
  </si>
  <si>
    <t>자산총계</t>
    <phoneticPr fontId="2" type="noConversion"/>
  </si>
  <si>
    <t>유동부채</t>
    <phoneticPr fontId="2" type="noConversion"/>
  </si>
  <si>
    <t>리스부채</t>
    <phoneticPr fontId="2" type="noConversion"/>
  </si>
  <si>
    <t>기타유동부채</t>
    <phoneticPr fontId="2" type="noConversion"/>
  </si>
  <si>
    <t>비유동부채</t>
    <phoneticPr fontId="2" type="noConversion"/>
  </si>
  <si>
    <t>부채총계</t>
    <phoneticPr fontId="2" type="noConversion"/>
  </si>
  <si>
    <t>기타자본구성요소</t>
  </si>
  <si>
    <t xml:space="preserve">이익잉여금 </t>
  </si>
  <si>
    <t>자본총계</t>
    <phoneticPr fontId="2" type="noConversion"/>
  </si>
  <si>
    <t>단기금융상품</t>
    <phoneticPr fontId="2" type="noConversion"/>
  </si>
  <si>
    <t>투자부동산</t>
    <phoneticPr fontId="2" type="noConversion"/>
  </si>
  <si>
    <t>차입부채</t>
    <phoneticPr fontId="2" type="noConversion"/>
  </si>
  <si>
    <t>유동성리스부채</t>
    <phoneticPr fontId="2" type="noConversion"/>
  </si>
  <si>
    <t>비유동차입부채</t>
    <phoneticPr fontId="2" type="noConversion"/>
  </si>
  <si>
    <t>기타비유동부채</t>
    <phoneticPr fontId="2" type="noConversion"/>
  </si>
  <si>
    <t>자본금</t>
    <phoneticPr fontId="2" type="noConversion"/>
  </si>
  <si>
    <t>자본잉여금</t>
    <phoneticPr fontId="2" type="noConversion"/>
  </si>
  <si>
    <t>부채와자본총계</t>
    <phoneticPr fontId="2" type="noConversion"/>
  </si>
  <si>
    <t>연결재무상태표(IFRS)</t>
    <phoneticPr fontId="2" type="noConversion"/>
  </si>
  <si>
    <t>별도재무상태표(IFRS)</t>
    <phoneticPr fontId="2" type="noConversion"/>
  </si>
  <si>
    <t>매출채권및기타수취채권</t>
    <phoneticPr fontId="2" type="noConversion"/>
  </si>
  <si>
    <t>종속기업투자주식</t>
    <phoneticPr fontId="2" type="noConversion"/>
  </si>
  <si>
    <t>매입채무및기타지급채무</t>
    <phoneticPr fontId="2" type="noConversion"/>
  </si>
  <si>
    <t>1Q24</t>
    <phoneticPr fontId="2" type="noConversion"/>
  </si>
  <si>
    <t>2Q24</t>
    <phoneticPr fontId="2" type="noConversion"/>
  </si>
  <si>
    <t>법인세차감전계속사업이익</t>
    <phoneticPr fontId="2" type="noConversion"/>
  </si>
  <si>
    <t>계속사업이익</t>
    <phoneticPr fontId="2" type="noConversion"/>
  </si>
  <si>
    <t>중단사업이익</t>
    <phoneticPr fontId="2" type="noConversion"/>
  </si>
  <si>
    <t>3Q24</t>
    <phoneticPr fontId="2" type="noConversion"/>
  </si>
  <si>
    <t>4Q24</t>
    <phoneticPr fontId="2" type="noConversion"/>
  </si>
  <si>
    <t>B2B_국내</t>
    <phoneticPr fontId="2" type="noConversion"/>
  </si>
  <si>
    <t>B2B_국외</t>
    <phoneticPr fontId="2" type="noConversion"/>
  </si>
  <si>
    <t>1Q25</t>
  </si>
  <si>
    <t>2Q25</t>
  </si>
  <si>
    <t>3Q25</t>
  </si>
  <si>
    <t>4Q25</t>
  </si>
  <si>
    <t>1Q25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</si>
</sst>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.0%"/>
    <numFmt numFmtId="177" formatCode="_-* #,##0.0_-;\-* #,##0.0_-;_-* &quot;-&quot;_-;_-@_-"/>
    <numFmt numFmtId="178" formatCode="#,###,,"/>
    <numFmt numFmtId="179" formatCode="0.0%;[Red]\-0.0%"/>
    <numFmt numFmtId="180" formatCode="#,###.000000,,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1" fontId="0" fillId="0" borderId="0" xfId="1" applyFont="1">
      <alignment vertical="center"/>
    </xf>
    <xf numFmtId="177" fontId="0" fillId="0" borderId="0" xfId="1" applyNumberFormat="1" applyFont="1">
      <alignment vertical="center"/>
    </xf>
    <xf numFmtId="41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178" fontId="5" fillId="4" borderId="0" xfId="1" applyNumberFormat="1" applyFont="1" applyFill="1" applyBorder="1">
      <alignment vertical="center"/>
    </xf>
    <xf numFmtId="178" fontId="5" fillId="0" borderId="0" xfId="1" applyNumberFormat="1" applyFont="1" applyBorder="1">
      <alignment vertical="center"/>
    </xf>
    <xf numFmtId="178" fontId="6" fillId="0" borderId="0" xfId="1" applyNumberFormat="1" applyFont="1" applyBorder="1">
      <alignment vertical="center"/>
    </xf>
    <xf numFmtId="178" fontId="5" fillId="4" borderId="4" xfId="1" applyNumberFormat="1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4" borderId="8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178" fontId="5" fillId="4" borderId="10" xfId="1" applyNumberFormat="1" applyFont="1" applyFill="1" applyBorder="1">
      <alignment vertical="center"/>
    </xf>
    <xf numFmtId="178" fontId="5" fillId="0" borderId="10" xfId="1" applyNumberFormat="1" applyFont="1" applyBorder="1">
      <alignment vertical="center"/>
    </xf>
    <xf numFmtId="178" fontId="6" fillId="0" borderId="10" xfId="1" applyNumberFormat="1" applyFont="1" applyBorder="1">
      <alignment vertical="center"/>
    </xf>
    <xf numFmtId="178" fontId="5" fillId="4" borderId="11" xfId="1" applyNumberFormat="1" applyFont="1" applyFill="1" applyBorder="1">
      <alignment vertical="center"/>
    </xf>
    <xf numFmtId="0" fontId="6" fillId="0" borderId="7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/>
    </xf>
    <xf numFmtId="176" fontId="6" fillId="0" borderId="0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178" fontId="6" fillId="0" borderId="0" xfId="1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9" fontId="8" fillId="0" borderId="0" xfId="2" applyNumberFormat="1" applyFont="1" applyBorder="1" applyAlignment="1">
      <alignment horizontal="right" vertical="center"/>
    </xf>
    <xf numFmtId="179" fontId="8" fillId="4" borderId="0" xfId="2" applyNumberFormat="1" applyFont="1" applyFill="1" applyBorder="1" applyAlignment="1">
      <alignment horizontal="right" vertical="center"/>
    </xf>
    <xf numFmtId="179" fontId="6" fillId="4" borderId="3" xfId="2" applyNumberFormat="1" applyFont="1" applyFill="1" applyBorder="1" applyAlignment="1">
      <alignment horizontal="right" vertical="center"/>
    </xf>
    <xf numFmtId="179" fontId="8" fillId="4" borderId="4" xfId="2" applyNumberFormat="1" applyFont="1" applyFill="1" applyBorder="1" applyAlignment="1">
      <alignment horizontal="right" vertical="center"/>
    </xf>
    <xf numFmtId="179" fontId="6" fillId="4" borderId="5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>
      <alignment vertical="center"/>
    </xf>
    <xf numFmtId="178" fontId="6" fillId="0" borderId="10" xfId="1" applyNumberFormat="1" applyFont="1" applyFill="1" applyBorder="1">
      <alignment vertical="center"/>
    </xf>
    <xf numFmtId="178" fontId="6" fillId="0" borderId="0" xfId="1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/>
    </xf>
    <xf numFmtId="178" fontId="6" fillId="5" borderId="0" xfId="1" applyNumberFormat="1" applyFont="1" applyFill="1" applyBorder="1">
      <alignment vertical="center"/>
    </xf>
    <xf numFmtId="178" fontId="6" fillId="5" borderId="10" xfId="1" applyNumberFormat="1" applyFont="1" applyFill="1" applyBorder="1">
      <alignment vertical="center"/>
    </xf>
    <xf numFmtId="3" fontId="0" fillId="0" borderId="0" xfId="0" applyNumberFormat="1">
      <alignment vertical="center"/>
    </xf>
    <xf numFmtId="179" fontId="8" fillId="4" borderId="3" xfId="2" applyNumberFormat="1" applyFont="1" applyFill="1" applyBorder="1" applyAlignment="1">
      <alignment horizontal="right" vertical="center"/>
    </xf>
    <xf numFmtId="179" fontId="8" fillId="0" borderId="3" xfId="2" applyNumberFormat="1" applyFont="1" applyFill="1" applyBorder="1" applyAlignment="1">
      <alignment horizontal="right" vertical="center"/>
    </xf>
    <xf numFmtId="179" fontId="8" fillId="4" borderId="5" xfId="2" applyNumberFormat="1" applyFont="1" applyFill="1" applyBorder="1" applyAlignment="1">
      <alignment horizontal="right" vertical="center"/>
    </xf>
    <xf numFmtId="178" fontId="5" fillId="4" borderId="12" xfId="1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9" fontId="8" fillId="4" borderId="12" xfId="2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179" fontId="8" fillId="4" borderId="14" xfId="2" applyNumberFormat="1" applyFont="1" applyFill="1" applyBorder="1" applyAlignment="1">
      <alignment horizontal="right" vertical="center"/>
    </xf>
    <xf numFmtId="180" fontId="0" fillId="0" borderId="0" xfId="0" applyNumberFormat="1">
      <alignment vertical="center"/>
    </xf>
    <xf numFmtId="9" fontId="0" fillId="0" borderId="0" xfId="2" applyFont="1">
      <alignment vertical="center"/>
    </xf>
    <xf numFmtId="176" fontId="0" fillId="0" borderId="0" xfId="2" applyNumberFormat="1" applyFo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179" fontId="8" fillId="5" borderId="12" xfId="2" applyNumberFormat="1" applyFont="1" applyFill="1" applyBorder="1" applyAlignment="1">
      <alignment horizontal="right" vertical="center"/>
    </xf>
    <xf numFmtId="179" fontId="6" fillId="5" borderId="3" xfId="2" applyNumberFormat="1" applyFont="1" applyFill="1" applyBorder="1" applyAlignment="1">
      <alignment horizontal="right" vertical="center"/>
    </xf>
    <xf numFmtId="179" fontId="8" fillId="5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59E8-C43B-483E-AAAE-480A073E5396}">
  <dimension ref="B1:V40"/>
  <sheetViews>
    <sheetView showGridLines="0" tabSelected="1" zoomScaleNormal="100" workbookViewId="0">
      <selection activeCell="L12" sqref="L12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  <col min="22" max="22" width="14.8984375" bestFit="1" customWidth="1"/>
  </cols>
  <sheetData>
    <row r="1" spans="2:22" ht="46.95" customHeight="1" x14ac:dyDescent="0.4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22" x14ac:dyDescent="0.4">
      <c r="J2" s="3"/>
      <c r="K2" s="3"/>
      <c r="L2" s="51"/>
      <c r="M2" s="50"/>
      <c r="N2" s="50"/>
      <c r="O2" s="3"/>
      <c r="P2" s="51"/>
      <c r="Q2" s="50"/>
      <c r="R2" s="50"/>
      <c r="S2" s="3"/>
    </row>
    <row r="3" spans="2:22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82</v>
      </c>
      <c r="P3" s="5" t="s">
        <v>83</v>
      </c>
      <c r="Q3" s="5" t="s">
        <v>84</v>
      </c>
      <c r="R3" s="15" t="s">
        <v>85</v>
      </c>
      <c r="S3" s="26" t="s">
        <v>40</v>
      </c>
      <c r="T3" s="27" t="s">
        <v>41</v>
      </c>
    </row>
    <row r="4" spans="2:22" x14ac:dyDescent="0.4">
      <c r="B4" s="11" t="s">
        <v>10</v>
      </c>
      <c r="C4" s="6">
        <f t="shared" ref="C4:J4" si="0">SUM(C5,C9,C12)</f>
        <v>23115163994.000004</v>
      </c>
      <c r="D4" s="6">
        <f t="shared" si="0"/>
        <v>26721932222.311878</v>
      </c>
      <c r="E4" s="6">
        <f t="shared" si="0"/>
        <v>27305094693.999996</v>
      </c>
      <c r="F4" s="16">
        <f t="shared" si="0"/>
        <v>31068682822.688118</v>
      </c>
      <c r="G4" s="6">
        <f t="shared" si="0"/>
        <v>24038518668</v>
      </c>
      <c r="H4" s="6">
        <f t="shared" si="0"/>
        <v>26444890058</v>
      </c>
      <c r="I4" s="6">
        <f t="shared" si="0"/>
        <v>27580835194</v>
      </c>
      <c r="J4" s="16">
        <f t="shared" si="0"/>
        <v>28593734676</v>
      </c>
      <c r="K4" s="6">
        <v>23210807521</v>
      </c>
      <c r="L4" s="6">
        <f>25429338192</f>
        <v>25429338192</v>
      </c>
      <c r="M4" s="6">
        <v>27645166019</v>
      </c>
      <c r="N4" s="16">
        <v>28832378804</v>
      </c>
      <c r="O4" s="6">
        <v>22062829303</v>
      </c>
      <c r="P4" s="6"/>
      <c r="Q4" s="6"/>
      <c r="R4" s="16"/>
      <c r="S4" s="29">
        <f>+IFERROR((O4/K4-1),"n/a")</f>
        <v>-4.945877979304969E-2</v>
      </c>
      <c r="T4" s="30">
        <f>+IFERROR((O4/N4-1),"n/a")</f>
        <v>-0.23478983635095829</v>
      </c>
      <c r="U4" s="4"/>
      <c r="V4" s="4"/>
    </row>
    <row r="5" spans="2:22" x14ac:dyDescent="0.4">
      <c r="B5" s="12" t="s">
        <v>11</v>
      </c>
      <c r="C5" s="7">
        <f t="shared" ref="C5:N5" si="1">C6+C7+C8</f>
        <v>21432308696.000004</v>
      </c>
      <c r="D5" s="7">
        <f t="shared" si="1"/>
        <v>23563431609.311878</v>
      </c>
      <c r="E5" s="7">
        <f t="shared" si="1"/>
        <v>24600733744.999996</v>
      </c>
      <c r="F5" s="17">
        <f t="shared" si="1"/>
        <v>29546964949.688118</v>
      </c>
      <c r="G5" s="7">
        <f t="shared" si="1"/>
        <v>22760239000</v>
      </c>
      <c r="H5" s="7">
        <f t="shared" si="1"/>
        <v>24193540000</v>
      </c>
      <c r="I5" s="7">
        <f t="shared" si="1"/>
        <v>25662736513</v>
      </c>
      <c r="J5" s="17">
        <f t="shared" si="1"/>
        <v>27066894405</v>
      </c>
      <c r="K5" s="7">
        <f t="shared" si="1"/>
        <v>21916626670</v>
      </c>
      <c r="L5" s="7">
        <f t="shared" si="1"/>
        <v>23823840955.760002</v>
      </c>
      <c r="M5" s="7">
        <f t="shared" si="1"/>
        <v>26021714016.239998</v>
      </c>
      <c r="N5" s="17">
        <f t="shared" si="1"/>
        <v>27818043613</v>
      </c>
      <c r="O5" s="7">
        <f t="shared" ref="O5" si="2">O6+O7+O8</f>
        <v>21042447162</v>
      </c>
      <c r="P5" s="7"/>
      <c r="Q5" s="7"/>
      <c r="R5" s="17"/>
      <c r="S5" s="55">
        <f t="shared" ref="S5:S38" si="3">+IFERROR((O5/K5-1),"n/a")</f>
        <v>-3.9886590266037469E-2</v>
      </c>
      <c r="T5" s="54">
        <f t="shared" ref="T5:T38" si="4">+IFERROR((O5/N5-1),"n/a")</f>
        <v>-0.24356840276983427</v>
      </c>
    </row>
    <row r="6" spans="2:22" x14ac:dyDescent="0.4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8">
        <v>2132582000</v>
      </c>
      <c r="H6" s="8">
        <v>2159520000</v>
      </c>
      <c r="I6" s="8">
        <v>2033334000</v>
      </c>
      <c r="J6" s="34">
        <v>2103721918</v>
      </c>
      <c r="K6" s="8">
        <f>별도IS!K6</f>
        <v>1906143611</v>
      </c>
      <c r="L6" s="8">
        <f>별도IS!L6</f>
        <v>2217594557.8729</v>
      </c>
      <c r="M6" s="8">
        <f>별도IS!M6</f>
        <v>2960404497.1271</v>
      </c>
      <c r="N6" s="34">
        <v>2982525057</v>
      </c>
      <c r="O6" s="8">
        <f>2155335761+96826097</f>
        <v>2252161858</v>
      </c>
      <c r="P6" s="8"/>
      <c r="Q6" s="8"/>
      <c r="R6" s="34"/>
      <c r="S6" s="55">
        <f t="shared" si="3"/>
        <v>0.1815279001032204</v>
      </c>
      <c r="T6" s="54">
        <f t="shared" si="4"/>
        <v>-0.24488082582435788</v>
      </c>
    </row>
    <row r="7" spans="2:22" x14ac:dyDescent="0.4">
      <c r="B7" s="20" t="s">
        <v>80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8">
        <v>20627657000</v>
      </c>
      <c r="H7" s="8">
        <v>22034020000</v>
      </c>
      <c r="I7" s="8">
        <v>23341677650</v>
      </c>
      <c r="J7" s="34">
        <v>24569988635</v>
      </c>
      <c r="K7" s="8">
        <f>별도IS!K7</f>
        <v>19436141280</v>
      </c>
      <c r="L7" s="8">
        <f>별도IS!L7</f>
        <v>20776022274.8871</v>
      </c>
      <c r="M7" s="8">
        <f>별도IS!M7</f>
        <v>21949292138.1129</v>
      </c>
      <c r="N7" s="34">
        <v>23971616908</v>
      </c>
      <c r="O7" s="8">
        <v>18178128866</v>
      </c>
      <c r="P7" s="8"/>
      <c r="Q7" s="8"/>
      <c r="R7" s="34"/>
      <c r="S7" s="55">
        <f t="shared" si="3"/>
        <v>-6.4725420333021977E-2</v>
      </c>
      <c r="T7" s="54">
        <f t="shared" si="4"/>
        <v>-0.24168115418474545</v>
      </c>
    </row>
    <row r="8" spans="2:22" x14ac:dyDescent="0.4">
      <c r="B8" s="20" t="s">
        <v>81</v>
      </c>
      <c r="C8" s="33"/>
      <c r="D8" s="33"/>
      <c r="E8" s="33"/>
      <c r="F8" s="34"/>
      <c r="G8" s="33"/>
      <c r="H8" s="33"/>
      <c r="I8" s="33">
        <v>287724863</v>
      </c>
      <c r="J8" s="34">
        <v>393183852</v>
      </c>
      <c r="K8" s="33">
        <f>별도IS!K8</f>
        <v>574341779</v>
      </c>
      <c r="L8" s="33">
        <f>별도IS!L8</f>
        <v>830224123</v>
      </c>
      <c r="M8" s="33">
        <f>별도IS!M8</f>
        <v>1112017381</v>
      </c>
      <c r="N8" s="34">
        <v>863901648</v>
      </c>
      <c r="O8" s="33">
        <v>612156438</v>
      </c>
      <c r="P8" s="33"/>
      <c r="Q8" s="33"/>
      <c r="R8" s="34"/>
      <c r="S8" s="55">
        <f t="shared" si="3"/>
        <v>6.5839993506723538E-2</v>
      </c>
      <c r="T8" s="54">
        <f t="shared" si="4"/>
        <v>-0.29140494242927983</v>
      </c>
      <c r="U8" s="4"/>
    </row>
    <row r="9" spans="2:22" x14ac:dyDescent="0.4">
      <c r="B9" s="12" t="s">
        <v>14</v>
      </c>
      <c r="C9" s="7">
        <f>SUM(C10:C11)</f>
        <v>920512298</v>
      </c>
      <c r="D9" s="7">
        <f t="shared" ref="D9:J9" si="5">SUM(D10:D11)</f>
        <v>906243102</v>
      </c>
      <c r="E9" s="7">
        <f t="shared" si="5"/>
        <v>885031819</v>
      </c>
      <c r="F9" s="17">
        <f t="shared" si="5"/>
        <v>585260708</v>
      </c>
      <c r="G9" s="7">
        <f t="shared" si="5"/>
        <v>770538545</v>
      </c>
      <c r="H9" s="7">
        <f t="shared" si="5"/>
        <v>871898204</v>
      </c>
      <c r="I9" s="7">
        <f t="shared" si="5"/>
        <v>949403625</v>
      </c>
      <c r="J9" s="46">
        <f t="shared" si="5"/>
        <v>594832571</v>
      </c>
      <c r="K9" s="7">
        <f>K10+K11</f>
        <v>513606955</v>
      </c>
      <c r="L9" s="7">
        <f>L10+L11</f>
        <v>353839282.51999992</v>
      </c>
      <c r="M9" s="7">
        <f>M10+M11</f>
        <v>327055385.54000008</v>
      </c>
      <c r="N9" s="46">
        <f>N10+N11</f>
        <v>280446224.29999989</v>
      </c>
      <c r="O9" s="7">
        <f>O10+O11</f>
        <v>303120713.70000005</v>
      </c>
      <c r="P9" s="7"/>
      <c r="Q9" s="7"/>
      <c r="R9" s="46"/>
      <c r="S9" s="55">
        <f t="shared" si="3"/>
        <v>-0.40981968653442391</v>
      </c>
      <c r="T9" s="54">
        <f t="shared" si="4"/>
        <v>8.0851469676927135E-2</v>
      </c>
    </row>
    <row r="10" spans="2:22" x14ac:dyDescent="0.4">
      <c r="B10" s="20" t="s">
        <v>12</v>
      </c>
      <c r="C10" s="8">
        <f>920512298-C11</f>
        <v>349813298</v>
      </c>
      <c r="D10" s="8">
        <f>906243102-D11</f>
        <v>383012102</v>
      </c>
      <c r="E10" s="8">
        <f>885031819-E11</f>
        <v>370014819</v>
      </c>
      <c r="F10" s="18">
        <f>585260708-F11</f>
        <v>75165708</v>
      </c>
      <c r="G10" s="8">
        <v>207687346</v>
      </c>
      <c r="H10" s="8">
        <v>320710100</v>
      </c>
      <c r="I10" s="8">
        <f>397031428</f>
        <v>397031428</v>
      </c>
      <c r="J10" s="34">
        <v>139370557</v>
      </c>
      <c r="K10" s="8">
        <f>별도IS!K10</f>
        <v>102819255</v>
      </c>
      <c r="L10" s="8">
        <f>별도IS!L10</f>
        <v>70300538.181351483</v>
      </c>
      <c r="M10" s="8">
        <f>별도IS!M10</f>
        <v>78687657.989293337</v>
      </c>
      <c r="N10" s="34">
        <v>63290899.595894992</v>
      </c>
      <c r="O10" s="8">
        <v>60648914.262860388</v>
      </c>
      <c r="P10" s="8"/>
      <c r="Q10" s="8"/>
      <c r="R10" s="34"/>
      <c r="S10" s="55">
        <f t="shared" si="3"/>
        <v>-0.41014050079568865</v>
      </c>
      <c r="T10" s="54">
        <f t="shared" si="4"/>
        <v>-4.1743526319002799E-2</v>
      </c>
    </row>
    <row r="11" spans="2:22" x14ac:dyDescent="0.4">
      <c r="B11" s="20" t="s">
        <v>13</v>
      </c>
      <c r="C11" s="8">
        <v>570699000</v>
      </c>
      <c r="D11" s="8">
        <f>1093930000-C11</f>
        <v>523231000</v>
      </c>
      <c r="E11" s="8">
        <f>1608947000-D11-C11</f>
        <v>515017000</v>
      </c>
      <c r="F11" s="18">
        <f>2119042000-E11-D11-C11</f>
        <v>510095000</v>
      </c>
      <c r="G11" s="8">
        <v>562851199</v>
      </c>
      <c r="H11" s="8">
        <v>551188104</v>
      </c>
      <c r="I11" s="8">
        <v>552372197</v>
      </c>
      <c r="J11" s="34">
        <v>455462014</v>
      </c>
      <c r="K11" s="8">
        <f>별도IS!K11</f>
        <v>410787700</v>
      </c>
      <c r="L11" s="8">
        <f>별도IS!L11</f>
        <v>283538744.33864844</v>
      </c>
      <c r="M11" s="8">
        <f>별도IS!M11</f>
        <v>248367727.55070674</v>
      </c>
      <c r="N11" s="34">
        <v>217155324.7041049</v>
      </c>
      <c r="O11" s="8">
        <v>242471799.43713966</v>
      </c>
      <c r="P11" s="8"/>
      <c r="Q11" s="8"/>
      <c r="R11" s="34"/>
      <c r="S11" s="55">
        <f t="shared" si="3"/>
        <v>-0.40973938743263327</v>
      </c>
      <c r="T11" s="54">
        <f t="shared" si="4"/>
        <v>0.11658233463780321</v>
      </c>
    </row>
    <row r="12" spans="2:22" x14ac:dyDescent="0.4">
      <c r="B12" s="12" t="s">
        <v>39</v>
      </c>
      <c r="C12" s="7">
        <v>762343000</v>
      </c>
      <c r="D12" s="7">
        <v>2252257511</v>
      </c>
      <c r="E12" s="7">
        <v>1819329130</v>
      </c>
      <c r="F12" s="17">
        <v>936457165</v>
      </c>
      <c r="G12" s="7">
        <v>507741123</v>
      </c>
      <c r="H12" s="7">
        <v>1379451854</v>
      </c>
      <c r="I12" s="7">
        <v>968695056</v>
      </c>
      <c r="J12" s="46">
        <v>932007700</v>
      </c>
      <c r="K12" s="7">
        <v>780573896</v>
      </c>
      <c r="L12" s="7">
        <f>L4-L5-L9</f>
        <v>1251657953.7199979</v>
      </c>
      <c r="M12" s="7">
        <f>M4-M5-M9</f>
        <v>1296396617.2200022</v>
      </c>
      <c r="N12" s="46">
        <v>733888588.70000124</v>
      </c>
      <c r="O12" s="7">
        <v>717262148.30000091</v>
      </c>
      <c r="P12" s="7"/>
      <c r="Q12" s="7"/>
      <c r="R12" s="46"/>
      <c r="S12" s="55">
        <f t="shared" si="3"/>
        <v>-8.1109230047835323E-2</v>
      </c>
      <c r="T12" s="54">
        <f t="shared" si="4"/>
        <v>-2.2655264921685347E-2</v>
      </c>
    </row>
    <row r="13" spans="2:22" x14ac:dyDescent="0.4">
      <c r="B13" s="11" t="s">
        <v>16</v>
      </c>
      <c r="C13" s="6">
        <f t="shared" ref="C13:F13" si="6">C14+C18+C19+C20+C21+C22+C23</f>
        <v>22440086236</v>
      </c>
      <c r="D13" s="6">
        <f t="shared" si="6"/>
        <v>26234833408</v>
      </c>
      <c r="E13" s="6">
        <f t="shared" si="6"/>
        <v>26648261427</v>
      </c>
      <c r="F13" s="16">
        <f t="shared" si="6"/>
        <v>30608382301</v>
      </c>
      <c r="G13" s="6">
        <v>24520910021</v>
      </c>
      <c r="H13" s="6">
        <v>26491133938</v>
      </c>
      <c r="I13" s="6">
        <v>27830396736</v>
      </c>
      <c r="J13" s="16">
        <v>29749738055</v>
      </c>
      <c r="K13" s="6">
        <v>24623825720</v>
      </c>
      <c r="L13" s="6">
        <v>26176329843</v>
      </c>
      <c r="M13" s="6">
        <v>27620025069</v>
      </c>
      <c r="N13" s="16">
        <v>30038621146</v>
      </c>
      <c r="O13" s="6">
        <v>23939166749</v>
      </c>
      <c r="P13" s="6"/>
      <c r="Q13" s="6"/>
      <c r="R13" s="16"/>
      <c r="S13" s="29">
        <f t="shared" si="3"/>
        <v>-2.7804735900315625E-2</v>
      </c>
      <c r="T13" s="30">
        <f t="shared" si="4"/>
        <v>-0.20305374096081685</v>
      </c>
    </row>
    <row r="14" spans="2:22" x14ac:dyDescent="0.4">
      <c r="B14" s="12" t="s">
        <v>11</v>
      </c>
      <c r="C14" s="7">
        <f>SUM(C15:C17)</f>
        <v>17981577956</v>
      </c>
      <c r="D14" s="7">
        <f t="shared" ref="D14:J14" si="7">SUM(D15:D17)</f>
        <v>19890007448</v>
      </c>
      <c r="E14" s="7">
        <f t="shared" si="7"/>
        <v>21332485808</v>
      </c>
      <c r="F14" s="17">
        <f t="shared" si="7"/>
        <v>25360332744</v>
      </c>
      <c r="G14" s="7">
        <f t="shared" si="7"/>
        <v>20618812277</v>
      </c>
      <c r="H14" s="7">
        <f t="shared" si="7"/>
        <v>21680646723</v>
      </c>
      <c r="I14" s="7">
        <f t="shared" si="7"/>
        <v>22886374000</v>
      </c>
      <c r="J14" s="17">
        <f t="shared" si="7"/>
        <v>23995681700</v>
      </c>
      <c r="K14" s="7">
        <f>SUM(K15:K17)</f>
        <v>19821703286</v>
      </c>
      <c r="L14" s="7">
        <f>SUM(L15:L17)</f>
        <v>20963108559</v>
      </c>
      <c r="M14" s="7">
        <f t="shared" ref="M14:O14" si="8">SUM(M15:M17)</f>
        <v>22417367628</v>
      </c>
      <c r="N14" s="17">
        <f t="shared" si="8"/>
        <v>24231095875</v>
      </c>
      <c r="O14" s="7">
        <f t="shared" si="8"/>
        <v>18779257409</v>
      </c>
      <c r="P14" s="7"/>
      <c r="Q14" s="7"/>
      <c r="R14" s="17"/>
      <c r="S14" s="29">
        <f t="shared" si="3"/>
        <v>-5.2591135179400839E-2</v>
      </c>
      <c r="T14" s="30">
        <f t="shared" si="4"/>
        <v>-0.22499347508359446</v>
      </c>
    </row>
    <row r="15" spans="2:22" x14ac:dyDescent="0.4">
      <c r="B15" s="20" t="s">
        <v>17</v>
      </c>
      <c r="C15" s="8">
        <v>2604913509</v>
      </c>
      <c r="D15" s="8">
        <v>2914097918</v>
      </c>
      <c r="E15" s="8">
        <v>2848186635</v>
      </c>
      <c r="F15" s="18">
        <v>3382230285</v>
      </c>
      <c r="G15" s="8">
        <v>2539106545</v>
      </c>
      <c r="H15" s="8">
        <v>2526677455</v>
      </c>
      <c r="I15" s="8">
        <v>2738812000</v>
      </c>
      <c r="J15" s="18">
        <v>2794224568</v>
      </c>
      <c r="K15" s="8">
        <v>2123299647</v>
      </c>
      <c r="L15" s="8">
        <v>2229012912</v>
      </c>
      <c r="M15" s="8">
        <v>2377775529</v>
      </c>
      <c r="N15" s="18">
        <v>2730086902</v>
      </c>
      <c r="O15" s="8">
        <v>2054575073</v>
      </c>
      <c r="P15" s="8"/>
      <c r="Q15" s="8"/>
      <c r="R15" s="18"/>
      <c r="S15" s="55">
        <f t="shared" si="3"/>
        <v>-3.2366874876610385E-2</v>
      </c>
      <c r="T15" s="54">
        <f t="shared" si="4"/>
        <v>-0.24743235407822928</v>
      </c>
    </row>
    <row r="16" spans="2:22" x14ac:dyDescent="0.4">
      <c r="B16" s="20" t="s">
        <v>18</v>
      </c>
      <c r="C16" s="8">
        <v>1085328634</v>
      </c>
      <c r="D16" s="8">
        <v>1036065492</v>
      </c>
      <c r="E16" s="8">
        <v>1106492961</v>
      </c>
      <c r="F16" s="18">
        <v>1090039116</v>
      </c>
      <c r="G16" s="8">
        <v>1052341201</v>
      </c>
      <c r="H16" s="8">
        <v>914878799</v>
      </c>
      <c r="I16" s="8">
        <v>799798000</v>
      </c>
      <c r="J16" s="18">
        <v>843829176</v>
      </c>
      <c r="K16" s="8">
        <f>별도IS!K16</f>
        <v>835125091</v>
      </c>
      <c r="L16" s="8">
        <v>819692956</v>
      </c>
      <c r="M16" s="8">
        <v>1116796567</v>
      </c>
      <c r="N16" s="18">
        <v>1242781212</v>
      </c>
      <c r="O16" s="8">
        <v>999392759</v>
      </c>
      <c r="P16" s="8"/>
      <c r="Q16" s="8"/>
      <c r="R16" s="18"/>
      <c r="S16" s="55">
        <f t="shared" si="3"/>
        <v>0.19669827882108271</v>
      </c>
      <c r="T16" s="54">
        <f t="shared" si="4"/>
        <v>-0.19584175448574448</v>
      </c>
    </row>
    <row r="17" spans="2:20" x14ac:dyDescent="0.4">
      <c r="B17" s="20" t="s">
        <v>19</v>
      </c>
      <c r="C17" s="8">
        <v>14291335813</v>
      </c>
      <c r="D17" s="8">
        <v>15939844038</v>
      </c>
      <c r="E17" s="8">
        <v>17377806212</v>
      </c>
      <c r="F17" s="18">
        <v>20888063343</v>
      </c>
      <c r="G17" s="8">
        <v>17027364531</v>
      </c>
      <c r="H17" s="8">
        <v>18239090469</v>
      </c>
      <c r="I17" s="8">
        <v>19347764000</v>
      </c>
      <c r="J17" s="18">
        <v>20357627956</v>
      </c>
      <c r="K17" s="8">
        <v>16863278548</v>
      </c>
      <c r="L17" s="8">
        <v>17914402691</v>
      </c>
      <c r="M17" s="8">
        <v>18922795532</v>
      </c>
      <c r="N17" s="18">
        <v>20258227761</v>
      </c>
      <c r="O17" s="8">
        <v>15725289577</v>
      </c>
      <c r="P17" s="8"/>
      <c r="Q17" s="8"/>
      <c r="R17" s="18"/>
      <c r="S17" s="55">
        <f t="shared" si="3"/>
        <v>-6.748325764535068E-2</v>
      </c>
      <c r="T17" s="54">
        <f t="shared" si="4"/>
        <v>-0.22375788432621724</v>
      </c>
    </row>
    <row r="18" spans="2:20" x14ac:dyDescent="0.4">
      <c r="B18" s="12" t="s">
        <v>37</v>
      </c>
      <c r="C18" s="7">
        <v>127328052</v>
      </c>
      <c r="D18" s="7">
        <v>101331650</v>
      </c>
      <c r="E18" s="7">
        <v>180159669</v>
      </c>
      <c r="F18" s="17">
        <v>102350205</v>
      </c>
      <c r="G18" s="7">
        <v>18729178</v>
      </c>
      <c r="H18" s="7">
        <v>151698822</v>
      </c>
      <c r="I18" s="7">
        <v>202839000</v>
      </c>
      <c r="J18" s="17">
        <v>50496600</v>
      </c>
      <c r="K18" s="7">
        <f>별도IS!K18</f>
        <v>1789950</v>
      </c>
      <c r="L18" s="7">
        <f>별도IS!L18</f>
        <v>535550</v>
      </c>
      <c r="M18" s="7">
        <f>별도IS!M18</f>
        <v>0</v>
      </c>
      <c r="N18" s="17">
        <v>-56100</v>
      </c>
      <c r="O18" s="7"/>
      <c r="P18" s="7"/>
      <c r="Q18" s="7"/>
      <c r="R18" s="17"/>
      <c r="S18" s="55">
        <f t="shared" si="3"/>
        <v>-1</v>
      </c>
      <c r="T18" s="54">
        <f t="shared" si="4"/>
        <v>-1</v>
      </c>
    </row>
    <row r="19" spans="2:20" x14ac:dyDescent="0.4">
      <c r="B19" s="12" t="s">
        <v>38</v>
      </c>
      <c r="C19" s="7">
        <v>352761994</v>
      </c>
      <c r="D19" s="7">
        <v>1726931496</v>
      </c>
      <c r="E19" s="7">
        <v>645579724</v>
      </c>
      <c r="F19" s="17">
        <v>1072018958</v>
      </c>
      <c r="G19" s="7">
        <v>206235684</v>
      </c>
      <c r="H19" s="7">
        <v>718566753</v>
      </c>
      <c r="I19" s="7">
        <v>302306121</v>
      </c>
      <c r="J19" s="17">
        <v>929552326</v>
      </c>
      <c r="K19" s="7">
        <v>342498253</v>
      </c>
      <c r="L19" s="7">
        <v>631077453</v>
      </c>
      <c r="M19" s="7">
        <v>493437510</v>
      </c>
      <c r="N19" s="17">
        <v>689647200</v>
      </c>
      <c r="O19" s="7">
        <v>197054870</v>
      </c>
      <c r="P19" s="7"/>
      <c r="Q19" s="7"/>
      <c r="R19" s="17"/>
      <c r="S19" s="55">
        <f t="shared" si="3"/>
        <v>-0.4246543791859867</v>
      </c>
      <c r="T19" s="54">
        <f t="shared" si="4"/>
        <v>-0.71426713542808562</v>
      </c>
    </row>
    <row r="20" spans="2:20" x14ac:dyDescent="0.4">
      <c r="B20" s="12" t="s">
        <v>20</v>
      </c>
      <c r="C20" s="7">
        <v>2252878816</v>
      </c>
      <c r="D20" s="7">
        <v>2276856379</v>
      </c>
      <c r="E20" s="7">
        <v>2395575670</v>
      </c>
      <c r="F20" s="17">
        <v>1947589777</v>
      </c>
      <c r="G20" s="7">
        <v>1964387744</v>
      </c>
      <c r="H20" s="7">
        <v>2170699314</v>
      </c>
      <c r="I20" s="7">
        <v>2557738254</v>
      </c>
      <c r="J20" s="46">
        <v>2842960823</v>
      </c>
      <c r="K20" s="7">
        <v>2476128305</v>
      </c>
      <c r="L20" s="7">
        <v>2498834435</v>
      </c>
      <c r="M20" s="7">
        <v>2432005879</v>
      </c>
      <c r="N20" s="46">
        <v>1979398064</v>
      </c>
      <c r="O20" s="7">
        <v>2208970206</v>
      </c>
      <c r="P20" s="7"/>
      <c r="Q20" s="7"/>
      <c r="R20" s="46"/>
      <c r="S20" s="55">
        <f t="shared" si="3"/>
        <v>-0.10789347969591578</v>
      </c>
      <c r="T20" s="54">
        <f t="shared" si="4"/>
        <v>0.11598078535859369</v>
      </c>
    </row>
    <row r="21" spans="2:20" x14ac:dyDescent="0.4">
      <c r="B21" s="12" t="s">
        <v>21</v>
      </c>
      <c r="C21" s="7">
        <v>393669953</v>
      </c>
      <c r="D21" s="7">
        <v>417369132</v>
      </c>
      <c r="E21" s="7">
        <v>540025965</v>
      </c>
      <c r="F21" s="17">
        <v>448355317</v>
      </c>
      <c r="G21" s="7">
        <v>403717452</v>
      </c>
      <c r="H21" s="7">
        <v>479648986</v>
      </c>
      <c r="I21" s="7">
        <v>468553117</v>
      </c>
      <c r="J21" s="46">
        <v>403865609</v>
      </c>
      <c r="K21" s="7">
        <v>381869675</v>
      </c>
      <c r="L21" s="7">
        <v>388784093</v>
      </c>
      <c r="M21" s="7">
        <v>506476093</v>
      </c>
      <c r="N21" s="46">
        <v>541622162</v>
      </c>
      <c r="O21" s="7">
        <v>494079669</v>
      </c>
      <c r="P21" s="7"/>
      <c r="Q21" s="7"/>
      <c r="R21" s="46"/>
      <c r="S21" s="55">
        <f t="shared" si="3"/>
        <v>0.29384368894963964</v>
      </c>
      <c r="T21" s="54">
        <f t="shared" si="4"/>
        <v>-8.7777968361641756E-2</v>
      </c>
    </row>
    <row r="22" spans="2:20" x14ac:dyDescent="0.4">
      <c r="B22" s="12" t="s">
        <v>22</v>
      </c>
      <c r="C22" s="7">
        <v>516516034</v>
      </c>
      <c r="D22" s="7">
        <v>670293605</v>
      </c>
      <c r="E22" s="7">
        <v>258276077</v>
      </c>
      <c r="F22" s="17">
        <v>657463303</v>
      </c>
      <c r="G22" s="7">
        <v>420266819</v>
      </c>
      <c r="H22" s="7">
        <v>390689921</v>
      </c>
      <c r="I22" s="7">
        <v>487953230</v>
      </c>
      <c r="J22" s="46">
        <v>439875572</v>
      </c>
      <c r="K22" s="7">
        <v>576019201</v>
      </c>
      <c r="L22" s="7">
        <v>836316054</v>
      </c>
      <c r="M22" s="7">
        <v>716453477</v>
      </c>
      <c r="N22" s="46">
        <v>779938997</v>
      </c>
      <c r="O22" s="7">
        <f>19257086982+372940930-O15-O16-O17</f>
        <v>850770503</v>
      </c>
      <c r="P22" s="7"/>
      <c r="Q22" s="7"/>
      <c r="R22" s="46"/>
      <c r="S22" s="55">
        <f t="shared" si="3"/>
        <v>0.47698288793675125</v>
      </c>
      <c r="T22" s="54">
        <f t="shared" si="4"/>
        <v>9.0816725759899297E-2</v>
      </c>
    </row>
    <row r="23" spans="2:20" x14ac:dyDescent="0.4">
      <c r="B23" s="12" t="s">
        <v>15</v>
      </c>
      <c r="C23" s="7">
        <v>815353431</v>
      </c>
      <c r="D23" s="7">
        <v>1152043698</v>
      </c>
      <c r="E23" s="7">
        <v>1296158514</v>
      </c>
      <c r="F23" s="17">
        <v>1020271997</v>
      </c>
      <c r="G23" s="7">
        <f>G13-G14-G18-G19-G20-G21-G22</f>
        <v>888760867</v>
      </c>
      <c r="H23" s="7">
        <f>H13-H14-H18-H19-H20-H21-H22</f>
        <v>899183419</v>
      </c>
      <c r="I23" s="7">
        <f>I13-I14-I18-I19-I20-I21-I22</f>
        <v>924633014</v>
      </c>
      <c r="J23" s="46">
        <f>J13-J14-J18-J19-J20-J21-J22</f>
        <v>1087305425</v>
      </c>
      <c r="K23" s="7">
        <v>1023817050</v>
      </c>
      <c r="L23" s="7">
        <v>857673699</v>
      </c>
      <c r="M23" s="7">
        <f>M13-M14-M19-M20-M21-M22</f>
        <v>1054284482</v>
      </c>
      <c r="N23" s="46">
        <f>N13-N14-N19-N20-N21-N22</f>
        <v>1816918848</v>
      </c>
      <c r="O23" s="7">
        <f>O13-O14-O19-O20-O21-O22</f>
        <v>1409034092</v>
      </c>
      <c r="P23" s="7"/>
      <c r="Q23" s="7"/>
      <c r="R23" s="46"/>
      <c r="S23" s="55">
        <f t="shared" si="3"/>
        <v>0.37625574022233765</v>
      </c>
      <c r="T23" s="54">
        <f t="shared" si="4"/>
        <v>-0.2244925558722588</v>
      </c>
    </row>
    <row r="24" spans="2:20" x14ac:dyDescent="0.4">
      <c r="B24" s="11" t="s">
        <v>23</v>
      </c>
      <c r="C24" s="6">
        <f t="shared" ref="C24:O24" si="9">C4-C13</f>
        <v>675077758.00000381</v>
      </c>
      <c r="D24" s="6">
        <f t="shared" si="9"/>
        <v>487098814.3118782</v>
      </c>
      <c r="E24" s="6">
        <f t="shared" si="9"/>
        <v>656833266.99999619</v>
      </c>
      <c r="F24" s="16">
        <f t="shared" si="9"/>
        <v>460300521.68811798</v>
      </c>
      <c r="G24" s="6">
        <f t="shared" si="9"/>
        <v>-482391353</v>
      </c>
      <c r="H24" s="6">
        <f t="shared" si="9"/>
        <v>-46243880</v>
      </c>
      <c r="I24" s="6">
        <f t="shared" si="9"/>
        <v>-249561542</v>
      </c>
      <c r="J24" s="16">
        <f t="shared" si="9"/>
        <v>-1156003379</v>
      </c>
      <c r="K24" s="6">
        <f t="shared" si="9"/>
        <v>-1413018199</v>
      </c>
      <c r="L24" s="6">
        <f t="shared" si="9"/>
        <v>-746991651</v>
      </c>
      <c r="M24" s="6">
        <f t="shared" si="9"/>
        <v>25140950</v>
      </c>
      <c r="N24" s="16">
        <f t="shared" si="9"/>
        <v>-1206242342</v>
      </c>
      <c r="O24" s="6">
        <f t="shared" si="9"/>
        <v>-1876337446</v>
      </c>
      <c r="P24" s="6"/>
      <c r="Q24" s="6"/>
      <c r="R24" s="16"/>
      <c r="S24" s="29">
        <f t="shared" si="3"/>
        <v>0.32789333309924351</v>
      </c>
      <c r="T24" s="30">
        <f t="shared" si="4"/>
        <v>0.55552278399459465</v>
      </c>
    </row>
    <row r="25" spans="2:20" x14ac:dyDescent="0.4">
      <c r="B25" s="21" t="s">
        <v>24</v>
      </c>
      <c r="C25" s="22">
        <f t="shared" ref="C25:O25" si="10">C24/C4</f>
        <v>2.9204973764202301E-2</v>
      </c>
      <c r="D25" s="22">
        <f t="shared" si="10"/>
        <v>1.8228427879371976E-2</v>
      </c>
      <c r="E25" s="22">
        <f t="shared" si="10"/>
        <v>2.405533745115809E-2</v>
      </c>
      <c r="F25" s="23">
        <f t="shared" si="10"/>
        <v>1.4815578900306015E-2</v>
      </c>
      <c r="G25" s="22">
        <f t="shared" si="10"/>
        <v>-2.0067432592764455E-2</v>
      </c>
      <c r="H25" s="22">
        <f t="shared" si="10"/>
        <v>-1.7486886842250453E-3</v>
      </c>
      <c r="I25" s="22">
        <f t="shared" si="10"/>
        <v>-9.0483678338460979E-3</v>
      </c>
      <c r="J25" s="23">
        <f t="shared" si="10"/>
        <v>-4.0428555139748336E-2</v>
      </c>
      <c r="K25" s="22">
        <f t="shared" si="10"/>
        <v>-6.0877597546813933E-2</v>
      </c>
      <c r="L25" s="22">
        <f t="shared" si="10"/>
        <v>-2.9375190394652171E-2</v>
      </c>
      <c r="M25" s="22">
        <f t="shared" si="10"/>
        <v>9.0941577209994323E-4</v>
      </c>
      <c r="N25" s="23">
        <f t="shared" si="10"/>
        <v>-4.1836379516235214E-2</v>
      </c>
      <c r="O25" s="22">
        <f t="shared" si="10"/>
        <v>-8.5045187098685679E-2</v>
      </c>
      <c r="P25" s="22"/>
      <c r="Q25" s="22"/>
      <c r="R25" s="23"/>
      <c r="S25" s="55">
        <f t="shared" si="3"/>
        <v>0.39698658497959349</v>
      </c>
      <c r="T25" s="54">
        <f t="shared" si="4"/>
        <v>1.0328046566668769</v>
      </c>
    </row>
    <row r="26" spans="2:20" x14ac:dyDescent="0.4">
      <c r="B26" s="13" t="s">
        <v>25</v>
      </c>
      <c r="C26" s="7">
        <f t="shared" ref="C26:F26" si="11">SUM(C27:C28)</f>
        <v>326115028</v>
      </c>
      <c r="D26" s="7">
        <f t="shared" si="11"/>
        <v>1712546515</v>
      </c>
      <c r="E26" s="7">
        <f t="shared" si="11"/>
        <v>2428353078</v>
      </c>
      <c r="F26" s="17">
        <f t="shared" si="11"/>
        <v>-2821312784</v>
      </c>
      <c r="G26" s="7">
        <v>806578121</v>
      </c>
      <c r="H26" s="7">
        <v>552723820</v>
      </c>
      <c r="I26" s="7">
        <v>848669714</v>
      </c>
      <c r="J26" s="17">
        <v>-604586046</v>
      </c>
      <c r="K26" s="7">
        <v>1180737769</v>
      </c>
      <c r="L26" s="7">
        <f>L27+L28</f>
        <v>1454914525</v>
      </c>
      <c r="M26" s="7">
        <f>M27+M28</f>
        <v>-937248776</v>
      </c>
      <c r="N26" s="17">
        <f>N27+N28</f>
        <v>1811615296</v>
      </c>
      <c r="O26" s="7">
        <f>O27+O28</f>
        <v>139467244</v>
      </c>
      <c r="P26" s="7"/>
      <c r="Q26" s="7"/>
      <c r="R26" s="17"/>
      <c r="S26" s="55">
        <f t="shared" si="3"/>
        <v>-0.88188127147137951</v>
      </c>
      <c r="T26" s="54">
        <f t="shared" si="4"/>
        <v>-0.92301497767879304</v>
      </c>
    </row>
    <row r="27" spans="2:20" x14ac:dyDescent="0.4">
      <c r="B27" s="24" t="s">
        <v>26</v>
      </c>
      <c r="C27" s="8">
        <v>11205855</v>
      </c>
      <c r="D27" s="8">
        <v>14279969</v>
      </c>
      <c r="E27" s="8">
        <v>124654654</v>
      </c>
      <c r="F27" s="18">
        <v>-102109756</v>
      </c>
      <c r="G27" s="8">
        <v>7966125</v>
      </c>
      <c r="H27" s="8">
        <v>35005419</v>
      </c>
      <c r="I27" s="8">
        <v>462242</v>
      </c>
      <c r="J27" s="18">
        <v>702961</v>
      </c>
      <c r="K27" s="8">
        <v>177289</v>
      </c>
      <c r="L27" s="8">
        <v>6164030</v>
      </c>
      <c r="M27" s="8">
        <v>1148405</v>
      </c>
      <c r="N27" s="18">
        <v>9457893</v>
      </c>
      <c r="O27" s="8">
        <v>1281858</v>
      </c>
      <c r="P27" s="8"/>
      <c r="Q27" s="8"/>
      <c r="R27" s="18"/>
      <c r="S27" s="55">
        <f t="shared" si="3"/>
        <v>6.2303301389257086</v>
      </c>
      <c r="T27" s="54">
        <f t="shared" si="4"/>
        <v>-0.86446685324099137</v>
      </c>
    </row>
    <row r="28" spans="2:20" x14ac:dyDescent="0.4">
      <c r="B28" s="24" t="s">
        <v>27</v>
      </c>
      <c r="C28" s="8">
        <v>314909173</v>
      </c>
      <c r="D28" s="8">
        <v>1698266546</v>
      </c>
      <c r="E28" s="8">
        <v>2303698424</v>
      </c>
      <c r="F28" s="18">
        <v>-2719203028</v>
      </c>
      <c r="G28" s="25">
        <v>798611996</v>
      </c>
      <c r="H28" s="8">
        <v>517718401</v>
      </c>
      <c r="I28" s="8">
        <v>848207472</v>
      </c>
      <c r="J28" s="18">
        <v>-605289007</v>
      </c>
      <c r="K28" s="25">
        <v>1180560480</v>
      </c>
      <c r="L28" s="8">
        <v>1448750495</v>
      </c>
      <c r="M28" s="8">
        <v>-938397181</v>
      </c>
      <c r="N28" s="18">
        <v>1802157403</v>
      </c>
      <c r="O28" s="25">
        <v>138185386</v>
      </c>
      <c r="P28" s="8"/>
      <c r="Q28" s="8"/>
      <c r="R28" s="18"/>
      <c r="S28" s="55">
        <f t="shared" si="3"/>
        <v>-0.88294933775862128</v>
      </c>
      <c r="T28" s="54">
        <f t="shared" si="4"/>
        <v>-0.92332224378960093</v>
      </c>
    </row>
    <row r="29" spans="2:20" x14ac:dyDescent="0.4">
      <c r="B29" s="13" t="s">
        <v>29</v>
      </c>
      <c r="C29" s="7">
        <f t="shared" ref="C29:F29" si="12">SUM(C30:C31)</f>
        <v>569748879</v>
      </c>
      <c r="D29" s="7">
        <f t="shared" si="12"/>
        <v>1776812560</v>
      </c>
      <c r="E29" s="7">
        <f t="shared" si="12"/>
        <v>2908257636</v>
      </c>
      <c r="F29" s="17">
        <f t="shared" si="12"/>
        <v>-566094648</v>
      </c>
      <c r="G29" s="7">
        <v>980346918</v>
      </c>
      <c r="H29" s="7">
        <v>786479759</v>
      </c>
      <c r="I29" s="7">
        <v>923400567</v>
      </c>
      <c r="J29" s="17">
        <v>650599670</v>
      </c>
      <c r="K29" s="7">
        <v>1278183678</v>
      </c>
      <c r="L29" s="7">
        <f>L30+L31</f>
        <v>1839601996</v>
      </c>
      <c r="M29" s="7">
        <f>M30+M31</f>
        <v>-761430571</v>
      </c>
      <c r="N29" s="17">
        <f>N30+N31</f>
        <v>3502400650</v>
      </c>
      <c r="O29" s="7">
        <f>O30+O31</f>
        <v>383901299</v>
      </c>
      <c r="P29" s="7"/>
      <c r="Q29" s="7"/>
      <c r="R29" s="17"/>
      <c r="S29" s="55">
        <f t="shared" si="3"/>
        <v>-0.69965091433439508</v>
      </c>
      <c r="T29" s="54">
        <f t="shared" si="4"/>
        <v>-0.89038909669000887</v>
      </c>
    </row>
    <row r="30" spans="2:20" x14ac:dyDescent="0.4">
      <c r="B30" s="24" t="s">
        <v>30</v>
      </c>
      <c r="C30" s="8">
        <v>81408531</v>
      </c>
      <c r="D30" s="8">
        <v>6146699</v>
      </c>
      <c r="E30" s="8">
        <v>269828636</v>
      </c>
      <c r="F30" s="18">
        <v>1762063954</v>
      </c>
      <c r="G30" s="8">
        <v>515959</v>
      </c>
      <c r="H30" s="8">
        <v>1004460</v>
      </c>
      <c r="I30" s="8">
        <v>25833544</v>
      </c>
      <c r="J30" s="18">
        <v>31206347</v>
      </c>
      <c r="K30" s="8">
        <v>213306</v>
      </c>
      <c r="L30" s="8">
        <v>804863271</v>
      </c>
      <c r="M30" s="8">
        <v>33024252</v>
      </c>
      <c r="N30" s="18">
        <v>307738862</v>
      </c>
      <c r="O30" s="8">
        <v>933261</v>
      </c>
      <c r="P30" s="8"/>
      <c r="Q30" s="8"/>
      <c r="R30" s="18"/>
      <c r="S30" s="55">
        <f t="shared" si="3"/>
        <v>3.3752215127563217</v>
      </c>
      <c r="T30" s="54">
        <f t="shared" si="4"/>
        <v>-0.99696736059289126</v>
      </c>
    </row>
    <row r="31" spans="2:20" x14ac:dyDescent="0.4">
      <c r="B31" s="24" t="s">
        <v>31</v>
      </c>
      <c r="C31" s="8">
        <v>488340348</v>
      </c>
      <c r="D31" s="8">
        <v>1770665861</v>
      </c>
      <c r="E31" s="8">
        <v>2638429000</v>
      </c>
      <c r="F31" s="18">
        <v>-2328158602</v>
      </c>
      <c r="G31" s="8">
        <v>979830959</v>
      </c>
      <c r="H31" s="8">
        <v>785475299</v>
      </c>
      <c r="I31" s="8">
        <v>897567023</v>
      </c>
      <c r="J31" s="18">
        <v>619393323</v>
      </c>
      <c r="K31" s="8">
        <v>1278183678</v>
      </c>
      <c r="L31" s="8">
        <v>1034738725</v>
      </c>
      <c r="M31" s="8">
        <v>-794454823</v>
      </c>
      <c r="N31" s="18">
        <v>3194661788</v>
      </c>
      <c r="O31" s="8">
        <v>382968038</v>
      </c>
      <c r="P31" s="8"/>
      <c r="Q31" s="8"/>
      <c r="R31" s="18"/>
      <c r="S31" s="55">
        <f t="shared" si="3"/>
        <v>-0.70038106056929328</v>
      </c>
      <c r="T31" s="54">
        <f t="shared" si="4"/>
        <v>-0.8801225095443499</v>
      </c>
    </row>
    <row r="32" spans="2:20" x14ac:dyDescent="0.4">
      <c r="B32" s="11" t="s">
        <v>75</v>
      </c>
      <c r="C32" s="6">
        <f t="shared" ref="C32:L32" si="13">C24+C26-C29</f>
        <v>431443907.00000381</v>
      </c>
      <c r="D32" s="6">
        <f t="shared" si="13"/>
        <v>422832769.3118782</v>
      </c>
      <c r="E32" s="6">
        <f t="shared" si="13"/>
        <v>176928708.99999619</v>
      </c>
      <c r="F32" s="16">
        <f t="shared" si="13"/>
        <v>-1794917614.311882</v>
      </c>
      <c r="G32" s="6">
        <f t="shared" si="13"/>
        <v>-656160150</v>
      </c>
      <c r="H32" s="6">
        <f t="shared" si="13"/>
        <v>-279999819</v>
      </c>
      <c r="I32" s="6">
        <f t="shared" si="13"/>
        <v>-324292395</v>
      </c>
      <c r="J32" s="16">
        <f t="shared" si="13"/>
        <v>-2411189095</v>
      </c>
      <c r="K32" s="6">
        <f t="shared" si="13"/>
        <v>-1510464108</v>
      </c>
      <c r="L32" s="6">
        <f t="shared" si="13"/>
        <v>-1131679122</v>
      </c>
      <c r="M32" s="6">
        <f>M24+M26-M29</f>
        <v>-150677255</v>
      </c>
      <c r="N32" s="16">
        <f>N24+N26-N29</f>
        <v>-2897027696</v>
      </c>
      <c r="O32" s="6">
        <f>O24+O26-O29</f>
        <v>-2120771501</v>
      </c>
      <c r="P32" s="6"/>
      <c r="Q32" s="6"/>
      <c r="R32" s="16"/>
      <c r="S32" s="29">
        <f t="shared" si="3"/>
        <v>0.40405289325815619</v>
      </c>
      <c r="T32" s="30">
        <f t="shared" si="4"/>
        <v>-0.26794917979962596</v>
      </c>
    </row>
    <row r="33" spans="2:20" x14ac:dyDescent="0.4">
      <c r="B33" s="21" t="s">
        <v>33</v>
      </c>
      <c r="C33" s="8">
        <v>113654738</v>
      </c>
      <c r="D33" s="8">
        <v>-139226368</v>
      </c>
      <c r="E33" s="8">
        <v>-88085799</v>
      </c>
      <c r="F33" s="18">
        <v>-180805966</v>
      </c>
      <c r="G33" s="8">
        <v>-213355187</v>
      </c>
      <c r="H33" s="8">
        <v>-225034949</v>
      </c>
      <c r="I33" s="8">
        <v>-199404623</v>
      </c>
      <c r="J33" s="18">
        <v>-904670815</v>
      </c>
      <c r="K33" s="8">
        <v>-490169723</v>
      </c>
      <c r="L33" s="8">
        <v>-53591499</v>
      </c>
      <c r="M33" s="8">
        <v>-149179043</v>
      </c>
      <c r="N33" s="18">
        <v>1308584049</v>
      </c>
      <c r="O33" s="8">
        <v>186012255</v>
      </c>
      <c r="P33" s="8"/>
      <c r="Q33" s="8"/>
      <c r="R33" s="18"/>
      <c r="S33" s="55">
        <f t="shared" si="3"/>
        <v>-1.3794854032630652</v>
      </c>
      <c r="T33" s="54">
        <f t="shared" si="4"/>
        <v>-0.8578522677682433</v>
      </c>
    </row>
    <row r="34" spans="2:20" x14ac:dyDescent="0.4">
      <c r="B34" s="11" t="s">
        <v>76</v>
      </c>
      <c r="C34" s="6">
        <f>C32-C33</f>
        <v>317789169.00000381</v>
      </c>
      <c r="D34" s="6">
        <f t="shared" ref="D34:L34" si="14">D32-D33</f>
        <v>562059137.3118782</v>
      </c>
      <c r="E34" s="6">
        <f t="shared" si="14"/>
        <v>265014507.99999619</v>
      </c>
      <c r="F34" s="16">
        <f t="shared" si="14"/>
        <v>-1614111648.311882</v>
      </c>
      <c r="G34" s="6">
        <f t="shared" si="14"/>
        <v>-442804963</v>
      </c>
      <c r="H34" s="6">
        <f t="shared" si="14"/>
        <v>-54964870</v>
      </c>
      <c r="I34" s="6">
        <f t="shared" si="14"/>
        <v>-124887772</v>
      </c>
      <c r="J34" s="16">
        <f t="shared" si="14"/>
        <v>-1506518280</v>
      </c>
      <c r="K34" s="6">
        <f t="shared" si="14"/>
        <v>-1020294385</v>
      </c>
      <c r="L34" s="6">
        <f t="shared" si="14"/>
        <v>-1078087623</v>
      </c>
      <c r="M34" s="6">
        <f>M32-M33</f>
        <v>-1498212</v>
      </c>
      <c r="N34" s="16">
        <f>N32-N33</f>
        <v>-4205611745</v>
      </c>
      <c r="O34" s="6">
        <f>O32-O33</f>
        <v>-2306783756</v>
      </c>
      <c r="P34" s="6"/>
      <c r="Q34" s="6"/>
      <c r="R34" s="16"/>
      <c r="S34" s="29">
        <f t="shared" si="3"/>
        <v>1.2609001773542055</v>
      </c>
      <c r="T34" s="30">
        <f t="shared" si="4"/>
        <v>-0.4514986413706622</v>
      </c>
    </row>
    <row r="35" spans="2:20" x14ac:dyDescent="0.4">
      <c r="B35" s="11" t="s">
        <v>77</v>
      </c>
      <c r="C35" s="6"/>
      <c r="D35" s="6"/>
      <c r="E35" s="6"/>
      <c r="F35" s="16"/>
      <c r="G35" s="6">
        <v>-181760652</v>
      </c>
      <c r="H35" s="6">
        <v>-191998800</v>
      </c>
      <c r="I35" s="6">
        <v>-276092765</v>
      </c>
      <c r="J35" s="16">
        <v>-195682997</v>
      </c>
      <c r="K35" s="6">
        <v>-200208993</v>
      </c>
      <c r="L35" s="6">
        <v>-103215617</v>
      </c>
      <c r="M35" s="6">
        <v>1225667</v>
      </c>
      <c r="N35" s="16">
        <v>1281471</v>
      </c>
      <c r="O35" s="6">
        <v>1520050</v>
      </c>
      <c r="P35" s="6"/>
      <c r="Q35" s="6"/>
      <c r="R35" s="16"/>
      <c r="S35" s="29">
        <f t="shared" si="3"/>
        <v>-1.0075923162952025</v>
      </c>
      <c r="T35" s="30">
        <f t="shared" si="4"/>
        <v>0.18617588692994214</v>
      </c>
    </row>
    <row r="36" spans="2:20" x14ac:dyDescent="0.4">
      <c r="B36" s="11" t="s">
        <v>34</v>
      </c>
      <c r="C36" s="6"/>
      <c r="D36" s="6"/>
      <c r="E36" s="6"/>
      <c r="F36" s="16"/>
      <c r="G36" s="6">
        <f t="shared" ref="G36:N36" si="15">G34+G35</f>
        <v>-624565615</v>
      </c>
      <c r="H36" s="6">
        <f t="shared" si="15"/>
        <v>-246963670</v>
      </c>
      <c r="I36" s="6">
        <f t="shared" si="15"/>
        <v>-400980537</v>
      </c>
      <c r="J36" s="16">
        <f t="shared" si="15"/>
        <v>-1702201277</v>
      </c>
      <c r="K36" s="6">
        <f t="shared" si="15"/>
        <v>-1220503378</v>
      </c>
      <c r="L36" s="6">
        <f t="shared" si="15"/>
        <v>-1181303240</v>
      </c>
      <c r="M36" s="6">
        <v>-272545</v>
      </c>
      <c r="N36" s="16">
        <f t="shared" si="15"/>
        <v>-4204330274</v>
      </c>
      <c r="O36" s="6">
        <v>-2305263706</v>
      </c>
      <c r="P36" s="6"/>
      <c r="Q36" s="6"/>
      <c r="R36" s="16"/>
      <c r="S36" s="29">
        <f t="shared" si="3"/>
        <v>0.88878109438546748</v>
      </c>
      <c r="T36" s="30">
        <f t="shared" si="4"/>
        <v>-0.45169300322194428</v>
      </c>
    </row>
    <row r="37" spans="2:20" x14ac:dyDescent="0.4">
      <c r="B37" s="21" t="s">
        <v>35</v>
      </c>
      <c r="C37" s="8">
        <v>20527642</v>
      </c>
      <c r="D37" s="8">
        <v>7409560</v>
      </c>
      <c r="E37" s="8">
        <v>10179135</v>
      </c>
      <c r="F37" s="18">
        <v>-11986223</v>
      </c>
      <c r="G37" s="8">
        <v>3010122</v>
      </c>
      <c r="H37" s="8">
        <v>-20188158</v>
      </c>
      <c r="I37" s="8">
        <v>2568072</v>
      </c>
      <c r="J37" s="18">
        <v>-4400037</v>
      </c>
      <c r="K37" s="8">
        <v>4568128</v>
      </c>
      <c r="L37" s="8">
        <v>3370450</v>
      </c>
      <c r="M37" s="8">
        <v>-5512800</v>
      </c>
      <c r="N37" s="18">
        <v>11850449</v>
      </c>
      <c r="O37" s="8">
        <v>-278674</v>
      </c>
      <c r="P37" s="8"/>
      <c r="Q37" s="8"/>
      <c r="R37" s="18"/>
      <c r="S37" s="55">
        <f t="shared" si="3"/>
        <v>-1.061003982375275</v>
      </c>
      <c r="T37" s="54">
        <f t="shared" si="4"/>
        <v>-1.0235159022244642</v>
      </c>
    </row>
    <row r="38" spans="2:20" x14ac:dyDescent="0.4">
      <c r="B38" s="14" t="s">
        <v>36</v>
      </c>
      <c r="C38" s="9">
        <f>C34+C37</f>
        <v>338316811.00000381</v>
      </c>
      <c r="D38" s="9">
        <f t="shared" ref="D38:F38" si="16">D34+D37</f>
        <v>569468697.3118782</v>
      </c>
      <c r="E38" s="9">
        <f t="shared" si="16"/>
        <v>275193642.99999619</v>
      </c>
      <c r="F38" s="19">
        <f t="shared" si="16"/>
        <v>-1626097871.311882</v>
      </c>
      <c r="G38" s="9">
        <f t="shared" ref="G38:L38" si="17">G36+G37</f>
        <v>-621555493</v>
      </c>
      <c r="H38" s="9">
        <f t="shared" si="17"/>
        <v>-267151828</v>
      </c>
      <c r="I38" s="9">
        <f t="shared" si="17"/>
        <v>-398412465</v>
      </c>
      <c r="J38" s="19">
        <f t="shared" si="17"/>
        <v>-1706601314</v>
      </c>
      <c r="K38" s="9">
        <f t="shared" si="17"/>
        <v>-1215935250</v>
      </c>
      <c r="L38" s="9">
        <f t="shared" si="17"/>
        <v>-1177932790</v>
      </c>
      <c r="M38" s="9">
        <f>M36+M37</f>
        <v>-5785345</v>
      </c>
      <c r="N38" s="19">
        <f>N36+N37</f>
        <v>-4192479825</v>
      </c>
      <c r="O38" s="9">
        <f>O36+O37</f>
        <v>-2305542380</v>
      </c>
      <c r="P38" s="9"/>
      <c r="Q38" s="9"/>
      <c r="R38" s="19"/>
      <c r="S38" s="48">
        <f t="shared" si="3"/>
        <v>0.89610621124767942</v>
      </c>
      <c r="T38" s="32">
        <f t="shared" si="4"/>
        <v>-0.45007669058967981</v>
      </c>
    </row>
    <row r="39" spans="2:20" x14ac:dyDescent="0.4">
      <c r="E39" s="1"/>
    </row>
    <row r="40" spans="2:20" x14ac:dyDescent="0.4">
      <c r="C40" s="2"/>
      <c r="E40" s="2"/>
      <c r="J40" s="4"/>
      <c r="K40" s="4"/>
      <c r="L40" s="4"/>
      <c r="M40" s="4"/>
      <c r="N40" s="4"/>
      <c r="O40" s="4"/>
      <c r="P40" s="4"/>
      <c r="Q40" s="4"/>
      <c r="R40" s="4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FBC1-0D74-4400-AF00-F2CD59C58D32}">
  <dimension ref="B1:T32"/>
  <sheetViews>
    <sheetView showGridLines="0" topLeftCell="A3" zoomScaleNormal="100" workbookViewId="0">
      <selection activeCell="K18" sqref="K18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</cols>
  <sheetData>
    <row r="1" spans="2:20" ht="46.95" customHeight="1" x14ac:dyDescent="0.4">
      <c r="B1" s="56" t="s">
        <v>68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20" x14ac:dyDescent="0.4">
      <c r="J2" s="3"/>
      <c r="K2" s="3"/>
      <c r="L2" s="3"/>
      <c r="M2" s="3"/>
      <c r="N2" s="3"/>
      <c r="O2" s="3"/>
      <c r="P2" s="3"/>
      <c r="Q2" s="3"/>
      <c r="R2" s="3"/>
      <c r="S2" s="3"/>
    </row>
    <row r="3" spans="2:20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86</v>
      </c>
      <c r="P3" s="5" t="s">
        <v>83</v>
      </c>
      <c r="Q3" s="15" t="s">
        <v>84</v>
      </c>
      <c r="R3" s="15" t="s">
        <v>85</v>
      </c>
      <c r="S3" s="5" t="s">
        <v>40</v>
      </c>
      <c r="T3" s="44" t="s">
        <v>41</v>
      </c>
    </row>
    <row r="4" spans="2:20" x14ac:dyDescent="0.4">
      <c r="B4" s="11" t="s">
        <v>43</v>
      </c>
      <c r="C4" s="6">
        <f>SUM(C5:C8)</f>
        <v>35414711585</v>
      </c>
      <c r="D4" s="6">
        <f t="shared" ref="D4:J4" si="0">SUM(D5:D8)</f>
        <v>33018566878</v>
      </c>
      <c r="E4" s="6">
        <f t="shared" si="0"/>
        <v>33258330556</v>
      </c>
      <c r="F4" s="6">
        <f t="shared" si="0"/>
        <v>32204759431</v>
      </c>
      <c r="G4" s="43">
        <f t="shared" si="0"/>
        <v>27554932708</v>
      </c>
      <c r="H4" s="6">
        <f t="shared" si="0"/>
        <v>26289390828</v>
      </c>
      <c r="I4" s="6">
        <f t="shared" si="0"/>
        <v>26039812251</v>
      </c>
      <c r="J4" s="6">
        <f t="shared" si="0"/>
        <v>26501177155</v>
      </c>
      <c r="K4" s="43">
        <v>23249945606</v>
      </c>
      <c r="L4" s="6">
        <v>23972161301</v>
      </c>
      <c r="M4" s="6">
        <v>27538807938</v>
      </c>
      <c r="N4" s="6">
        <v>25043429298</v>
      </c>
      <c r="O4" s="43">
        <v>23198365676</v>
      </c>
      <c r="P4" s="6"/>
      <c r="Q4" s="6"/>
      <c r="R4" s="6"/>
      <c r="S4" s="45">
        <f>+IFERROR((O4/K4-1),"n/a")</f>
        <v>-2.2184968031361274E-3</v>
      </c>
      <c r="T4" s="30">
        <f>+IFERROR((O4/N4-1),"n/a")</f>
        <v>-7.367455950401125E-2</v>
      </c>
    </row>
    <row r="5" spans="2:20" x14ac:dyDescent="0.4">
      <c r="B5" s="24" t="s">
        <v>44</v>
      </c>
      <c r="C5" s="33">
        <v>18554258221</v>
      </c>
      <c r="D5" s="33">
        <v>19484876945</v>
      </c>
      <c r="E5" s="33">
        <v>19484814708</v>
      </c>
      <c r="F5" s="34">
        <v>16313157141</v>
      </c>
      <c r="G5" s="33">
        <v>14085510562</v>
      </c>
      <c r="H5" s="33">
        <v>11970504874</v>
      </c>
      <c r="I5" s="33">
        <v>9710140935</v>
      </c>
      <c r="J5" s="34">
        <v>10401438499</v>
      </c>
      <c r="K5" s="33">
        <v>8235423460</v>
      </c>
      <c r="L5" s="33">
        <v>6000923503</v>
      </c>
      <c r="M5" s="33">
        <v>8340377458</v>
      </c>
      <c r="N5" s="34">
        <v>6735087182</v>
      </c>
      <c r="O5" s="33">
        <v>8089804817</v>
      </c>
      <c r="P5" s="33"/>
      <c r="Q5" s="34"/>
      <c r="R5" s="34"/>
      <c r="S5" s="53">
        <f t="shared" ref="S5:S30" si="1">+IFERROR((O5/K5-1),"n/a")</f>
        <v>-1.7681986082109691E-2</v>
      </c>
      <c r="T5" s="54">
        <f t="shared" ref="T5:T30" si="2">+IFERROR((O5/N5-1),"n/a")</f>
        <v>0.20114329605421877</v>
      </c>
    </row>
    <row r="6" spans="2:20" x14ac:dyDescent="0.4">
      <c r="B6" s="24" t="s">
        <v>59</v>
      </c>
      <c r="C6" s="33">
        <v>8844000000</v>
      </c>
      <c r="D6" s="33">
        <v>3844000000</v>
      </c>
      <c r="E6" s="33">
        <v>3844000000</v>
      </c>
      <c r="F6" s="34">
        <v>4644000000</v>
      </c>
      <c r="G6" s="33">
        <v>5144000000</v>
      </c>
      <c r="H6" s="33">
        <v>4644000000</v>
      </c>
      <c r="I6" s="33">
        <v>4644000000</v>
      </c>
      <c r="J6" s="34">
        <v>2644000000</v>
      </c>
      <c r="K6" s="33">
        <v>2644000000</v>
      </c>
      <c r="L6" s="33">
        <v>2644000000</v>
      </c>
      <c r="M6" s="33">
        <v>3355891430</v>
      </c>
      <c r="N6" s="34">
        <v>3356605870</v>
      </c>
      <c r="O6" s="33">
        <v>4357280070</v>
      </c>
      <c r="P6" s="33"/>
      <c r="Q6" s="34"/>
      <c r="R6" s="34"/>
      <c r="S6" s="53">
        <f t="shared" si="1"/>
        <v>0.6479879236006052</v>
      </c>
      <c r="T6" s="54">
        <f t="shared" si="2"/>
        <v>0.29812085146594836</v>
      </c>
    </row>
    <row r="7" spans="2:20" x14ac:dyDescent="0.4">
      <c r="B7" s="24" t="s">
        <v>70</v>
      </c>
      <c r="C7" s="33">
        <v>7293958959</v>
      </c>
      <c r="D7" s="33">
        <v>9049492116</v>
      </c>
      <c r="E7" s="33">
        <v>9225476156</v>
      </c>
      <c r="F7" s="34">
        <v>9711308321</v>
      </c>
      <c r="G7" s="33">
        <v>6341794418</v>
      </c>
      <c r="H7" s="33">
        <v>7603678308</v>
      </c>
      <c r="I7" s="33">
        <v>9763975422</v>
      </c>
      <c r="J7" s="34">
        <v>9914508859</v>
      </c>
      <c r="K7" s="33">
        <v>7649550991</v>
      </c>
      <c r="L7" s="33">
        <v>10303450536</v>
      </c>
      <c r="M7" s="33">
        <v>9579795909</v>
      </c>
      <c r="N7" s="34">
        <v>12956493136</v>
      </c>
      <c r="O7" s="33">
        <v>8767724806</v>
      </c>
      <c r="P7" s="33"/>
      <c r="Q7" s="34"/>
      <c r="R7" s="34"/>
      <c r="S7" s="53">
        <f t="shared" si="1"/>
        <v>0.14617509136360751</v>
      </c>
      <c r="T7" s="54">
        <f t="shared" si="2"/>
        <v>-0.32329491368010554</v>
      </c>
    </row>
    <row r="8" spans="2:20" x14ac:dyDescent="0.4">
      <c r="B8" s="24" t="s">
        <v>45</v>
      </c>
      <c r="C8" s="33">
        <v>722494405</v>
      </c>
      <c r="D8" s="33">
        <v>640197817</v>
      </c>
      <c r="E8" s="33">
        <v>704039692</v>
      </c>
      <c r="F8" s="34">
        <v>1536293969</v>
      </c>
      <c r="G8" s="33">
        <v>1983627728</v>
      </c>
      <c r="H8" s="33">
        <v>2071207646</v>
      </c>
      <c r="I8" s="33">
        <v>1921695894</v>
      </c>
      <c r="J8" s="34">
        <v>3541229797</v>
      </c>
      <c r="K8" s="33">
        <f>K4-SUM(K5:K7)</f>
        <v>4720971155</v>
      </c>
      <c r="L8" s="33">
        <v>5023787262</v>
      </c>
      <c r="M8" s="33">
        <v>6262743141</v>
      </c>
      <c r="N8" s="34">
        <f>N4-SUM(N5:N7)</f>
        <v>1995243110</v>
      </c>
      <c r="O8" s="33">
        <f>O4-SUM(O5:O7)</f>
        <v>1983555983</v>
      </c>
      <c r="P8" s="33"/>
      <c r="Q8" s="34"/>
      <c r="R8" s="34"/>
      <c r="S8" s="53">
        <f t="shared" si="1"/>
        <v>-0.5798415372864103</v>
      </c>
      <c r="T8" s="54">
        <f t="shared" si="2"/>
        <v>-5.8574952302429262E-3</v>
      </c>
    </row>
    <row r="9" spans="2:20" x14ac:dyDescent="0.4">
      <c r="B9" s="11" t="s">
        <v>46</v>
      </c>
      <c r="C9" s="6">
        <f t="shared" ref="C9:J9" si="3">SUM(C10:C13)</f>
        <v>43172966852</v>
      </c>
      <c r="D9" s="6">
        <f t="shared" si="3"/>
        <v>44528151188</v>
      </c>
      <c r="E9" s="6">
        <f t="shared" si="3"/>
        <v>47484554364</v>
      </c>
      <c r="F9" s="6">
        <f t="shared" si="3"/>
        <v>51137121851</v>
      </c>
      <c r="G9" s="43">
        <f t="shared" si="3"/>
        <v>51958536474</v>
      </c>
      <c r="H9" s="6">
        <f t="shared" si="3"/>
        <v>51617824709</v>
      </c>
      <c r="I9" s="6">
        <f t="shared" si="3"/>
        <v>51595643687</v>
      </c>
      <c r="J9" s="6">
        <f t="shared" si="3"/>
        <v>48666994573</v>
      </c>
      <c r="K9" s="43">
        <v>48552257309</v>
      </c>
      <c r="L9" s="6">
        <v>48631619503</v>
      </c>
      <c r="M9" s="6">
        <v>47742239570</v>
      </c>
      <c r="N9" s="6">
        <v>44203201072</v>
      </c>
      <c r="O9" s="43">
        <v>44539880307</v>
      </c>
      <c r="P9" s="6"/>
      <c r="Q9" s="6"/>
      <c r="R9" s="6"/>
      <c r="S9" s="45">
        <f t="shared" si="1"/>
        <v>-8.2640380167375627E-2</v>
      </c>
      <c r="T9" s="30">
        <f t="shared" si="2"/>
        <v>7.616625647803188E-3</v>
      </c>
    </row>
    <row r="10" spans="2:20" x14ac:dyDescent="0.4">
      <c r="B10" s="24" t="s">
        <v>60</v>
      </c>
      <c r="C10" s="33">
        <v>6502944335</v>
      </c>
      <c r="D10" s="33">
        <v>6497478497</v>
      </c>
      <c r="E10" s="33">
        <v>30918792281</v>
      </c>
      <c r="F10" s="34">
        <v>30904175138</v>
      </c>
      <c r="G10" s="33">
        <v>30889557995</v>
      </c>
      <c r="H10" s="33">
        <v>30874940852</v>
      </c>
      <c r="I10" s="33">
        <v>30860323709</v>
      </c>
      <c r="J10" s="34">
        <v>30845706566</v>
      </c>
      <c r="K10" s="33">
        <v>30831089423</v>
      </c>
      <c r="L10" s="33">
        <v>31190737246</v>
      </c>
      <c r="M10" s="33">
        <v>31173771160</v>
      </c>
      <c r="N10" s="34">
        <v>31185936326</v>
      </c>
      <c r="O10" s="33">
        <v>31168785866</v>
      </c>
      <c r="P10" s="33"/>
      <c r="Q10" s="34"/>
      <c r="R10" s="34"/>
      <c r="S10" s="53">
        <f t="shared" si="1"/>
        <v>1.0953114188306357E-2</v>
      </c>
      <c r="T10" s="54">
        <f t="shared" si="2"/>
        <v>-5.4994212201031623E-4</v>
      </c>
    </row>
    <row r="11" spans="2:20" x14ac:dyDescent="0.4">
      <c r="B11" s="24" t="s">
        <v>47</v>
      </c>
      <c r="C11" s="33">
        <v>25107425267</v>
      </c>
      <c r="D11" s="33">
        <v>25024628624</v>
      </c>
      <c r="E11" s="33">
        <v>556962338</v>
      </c>
      <c r="F11" s="34">
        <v>6203591108</v>
      </c>
      <c r="G11" s="33">
        <v>6006004142</v>
      </c>
      <c r="H11" s="33">
        <v>5654669759</v>
      </c>
      <c r="I11" s="33">
        <v>5308147350</v>
      </c>
      <c r="J11" s="34">
        <v>4969995967</v>
      </c>
      <c r="K11" s="33">
        <v>4614306545</v>
      </c>
      <c r="L11" s="33">
        <v>4265593012</v>
      </c>
      <c r="M11" s="33">
        <v>3926167638</v>
      </c>
      <c r="N11" s="34">
        <v>3601591924</v>
      </c>
      <c r="O11" s="33">
        <v>3418187194</v>
      </c>
      <c r="P11" s="33"/>
      <c r="Q11" s="34"/>
      <c r="R11" s="34"/>
      <c r="S11" s="53">
        <f t="shared" si="1"/>
        <v>-0.25921974176078499</v>
      </c>
      <c r="T11" s="54">
        <f t="shared" si="2"/>
        <v>-5.0923240020015137E-2</v>
      </c>
    </row>
    <row r="12" spans="2:20" x14ac:dyDescent="0.4">
      <c r="B12" s="24" t="s">
        <v>48</v>
      </c>
      <c r="C12" s="33">
        <v>2045105328</v>
      </c>
      <c r="D12" s="33">
        <v>2002296985</v>
      </c>
      <c r="E12" s="33">
        <v>1960309682</v>
      </c>
      <c r="F12" s="34">
        <v>663041456</v>
      </c>
      <c r="G12" s="33">
        <v>965016741</v>
      </c>
      <c r="H12" s="33">
        <v>1278346987</v>
      </c>
      <c r="I12" s="33">
        <v>1167687303</v>
      </c>
      <c r="J12" s="34">
        <v>1058756384</v>
      </c>
      <c r="K12" s="33">
        <v>958631058</v>
      </c>
      <c r="L12" s="33">
        <v>737291996</v>
      </c>
      <c r="M12" s="33">
        <v>679795164</v>
      </c>
      <c r="N12" s="34">
        <v>370150460</v>
      </c>
      <c r="O12" s="33">
        <v>353231372</v>
      </c>
      <c r="P12" s="33"/>
      <c r="Q12" s="34"/>
      <c r="R12" s="34"/>
      <c r="S12" s="53">
        <f t="shared" si="1"/>
        <v>-0.63152521603363287</v>
      </c>
      <c r="T12" s="54">
        <f t="shared" si="2"/>
        <v>-4.5708677492930838E-2</v>
      </c>
    </row>
    <row r="13" spans="2:20" x14ac:dyDescent="0.4">
      <c r="B13" s="24" t="s">
        <v>49</v>
      </c>
      <c r="C13" s="33">
        <v>9517491922</v>
      </c>
      <c r="D13" s="33">
        <v>11003747082</v>
      </c>
      <c r="E13" s="33">
        <v>14048490063</v>
      </c>
      <c r="F13" s="34">
        <v>13366314149</v>
      </c>
      <c r="G13" s="33">
        <v>14097957596</v>
      </c>
      <c r="H13" s="33">
        <v>13809867111</v>
      </c>
      <c r="I13" s="33">
        <v>14259485325</v>
      </c>
      <c r="J13" s="34">
        <v>11792535656</v>
      </c>
      <c r="K13" s="33">
        <f>K9-SUM(K10:K12)</f>
        <v>12148230283</v>
      </c>
      <c r="L13" s="33">
        <f>L9-SUM(L10:L12)</f>
        <v>12437997249</v>
      </c>
      <c r="M13" s="33">
        <f>M9-SUM(M10:M12)</f>
        <v>11962505608</v>
      </c>
      <c r="N13" s="34">
        <f>N9-SUM(N10:N12)</f>
        <v>9045522362</v>
      </c>
      <c r="O13" s="33">
        <f>O9-SUM(O10:O12)</f>
        <v>9599675875</v>
      </c>
      <c r="P13" s="33"/>
      <c r="Q13" s="34"/>
      <c r="R13" s="34"/>
      <c r="S13" s="53">
        <f t="shared" si="1"/>
        <v>-0.20978812128433211</v>
      </c>
      <c r="T13" s="54">
        <f t="shared" si="2"/>
        <v>6.1262743136646813E-2</v>
      </c>
    </row>
    <row r="14" spans="2:20" x14ac:dyDescent="0.4">
      <c r="B14" s="11" t="s">
        <v>50</v>
      </c>
      <c r="C14" s="6">
        <f t="shared" ref="C14:J14" si="4">C4+C9</f>
        <v>78587678437</v>
      </c>
      <c r="D14" s="6">
        <f t="shared" si="4"/>
        <v>77546718066</v>
      </c>
      <c r="E14" s="6">
        <f t="shared" si="4"/>
        <v>80742884920</v>
      </c>
      <c r="F14" s="16">
        <f t="shared" si="4"/>
        <v>83341881282</v>
      </c>
      <c r="G14" s="6">
        <f t="shared" si="4"/>
        <v>79513469182</v>
      </c>
      <c r="H14" s="6">
        <f t="shared" si="4"/>
        <v>77907215537</v>
      </c>
      <c r="I14" s="6">
        <f t="shared" si="4"/>
        <v>77635455938</v>
      </c>
      <c r="J14" s="16">
        <f t="shared" si="4"/>
        <v>75168171728</v>
      </c>
      <c r="K14" s="6">
        <f>K4+K9</f>
        <v>71802202915</v>
      </c>
      <c r="L14" s="6">
        <f>L4+L9</f>
        <v>72603780804</v>
      </c>
      <c r="M14" s="6">
        <v>75281047508</v>
      </c>
      <c r="N14" s="16">
        <f>N4+N9</f>
        <v>69246630370</v>
      </c>
      <c r="O14" s="6">
        <v>67738245983</v>
      </c>
      <c r="P14" s="6"/>
      <c r="Q14" s="16"/>
      <c r="R14" s="16"/>
      <c r="S14" s="45">
        <f t="shared" si="1"/>
        <v>-5.6599334936992762E-2</v>
      </c>
      <c r="T14" s="30">
        <f t="shared" si="2"/>
        <v>-2.1782783926674432E-2</v>
      </c>
    </row>
    <row r="15" spans="2:20" x14ac:dyDescent="0.4">
      <c r="B15" s="11" t="s">
        <v>51</v>
      </c>
      <c r="C15" s="6">
        <f>SUM(C16:C19)</f>
        <v>14348165977</v>
      </c>
      <c r="D15" s="6">
        <f t="shared" ref="D15:J15" si="5">SUM(D16:D19)</f>
        <v>15151386129</v>
      </c>
      <c r="E15" s="6">
        <f t="shared" si="5"/>
        <v>15974625770</v>
      </c>
      <c r="F15" s="16">
        <f t="shared" si="5"/>
        <v>18782216806</v>
      </c>
      <c r="G15" s="6">
        <f t="shared" si="5"/>
        <v>15887529185</v>
      </c>
      <c r="H15" s="6">
        <f t="shared" si="5"/>
        <v>16643407239</v>
      </c>
      <c r="I15" s="6">
        <f t="shared" si="5"/>
        <v>16687789088</v>
      </c>
      <c r="J15" s="16">
        <f t="shared" si="5"/>
        <v>39579955965</v>
      </c>
      <c r="K15" s="6">
        <v>37686125367</v>
      </c>
      <c r="L15" s="6">
        <v>39517328128</v>
      </c>
      <c r="M15" s="6">
        <v>42512240677</v>
      </c>
      <c r="N15" s="16">
        <v>20815551103</v>
      </c>
      <c r="O15" s="6">
        <v>21845140579</v>
      </c>
      <c r="P15" s="6"/>
      <c r="Q15" s="16"/>
      <c r="R15" s="16"/>
      <c r="S15" s="45">
        <f t="shared" si="1"/>
        <v>-0.42033996951756736</v>
      </c>
      <c r="T15" s="30">
        <f t="shared" si="2"/>
        <v>4.9462513430721167E-2</v>
      </c>
    </row>
    <row r="16" spans="2:20" x14ac:dyDescent="0.4">
      <c r="B16" s="24" t="s">
        <v>72</v>
      </c>
      <c r="C16" s="33">
        <v>10534143690</v>
      </c>
      <c r="D16" s="33">
        <v>11814318511</v>
      </c>
      <c r="E16" s="33">
        <v>12164452590</v>
      </c>
      <c r="F16" s="34">
        <v>14332118202</v>
      </c>
      <c r="G16" s="33">
        <v>11237086844</v>
      </c>
      <c r="H16" s="33">
        <v>12067423755</v>
      </c>
      <c r="I16" s="33">
        <v>12668377839</v>
      </c>
      <c r="J16" s="34">
        <v>12796037982</v>
      </c>
      <c r="K16" s="33">
        <v>10744874781</v>
      </c>
      <c r="L16" s="33">
        <v>12091045820</v>
      </c>
      <c r="M16" s="33">
        <v>11977384426</v>
      </c>
      <c r="N16" s="34">
        <v>12515833112</v>
      </c>
      <c r="O16" s="33">
        <v>11218785245</v>
      </c>
      <c r="P16" s="33"/>
      <c r="Q16" s="34"/>
      <c r="R16" s="34"/>
      <c r="S16" s="53">
        <f t="shared" si="1"/>
        <v>4.4105722370819E-2</v>
      </c>
      <c r="T16" s="54">
        <f t="shared" si="2"/>
        <v>-0.10363256328149739</v>
      </c>
    </row>
    <row r="17" spans="2:20" x14ac:dyDescent="0.4">
      <c r="B17" s="24" t="s">
        <v>61</v>
      </c>
      <c r="C17" s="33">
        <v>1325710000</v>
      </c>
      <c r="D17" s="33">
        <v>1342330000</v>
      </c>
      <c r="E17" s="33">
        <v>1358950000</v>
      </c>
      <c r="F17" s="34">
        <v>1327820000</v>
      </c>
      <c r="G17" s="33">
        <v>1327820000</v>
      </c>
      <c r="H17" s="33">
        <v>1327820000</v>
      </c>
      <c r="I17" s="33">
        <v>1127820000</v>
      </c>
      <c r="J17" s="34">
        <v>22885926900</v>
      </c>
      <c r="K17" s="33">
        <v>23604294670</v>
      </c>
      <c r="L17" s="33">
        <v>24069604670</v>
      </c>
      <c r="M17" s="33">
        <v>27645416560</v>
      </c>
      <c r="N17" s="34">
        <v>5121980000</v>
      </c>
      <c r="O17" s="33">
        <v>7591480000</v>
      </c>
      <c r="P17" s="33"/>
      <c r="Q17" s="34"/>
      <c r="R17" s="34"/>
      <c r="S17" s="53">
        <f t="shared" si="1"/>
        <v>-0.67838564523393996</v>
      </c>
      <c r="T17" s="54">
        <f t="shared" si="2"/>
        <v>0.48213776703540434</v>
      </c>
    </row>
    <row r="18" spans="2:20" x14ac:dyDescent="0.4">
      <c r="B18" s="24" t="s">
        <v>62</v>
      </c>
      <c r="C18" s="33">
        <v>219303008</v>
      </c>
      <c r="D18" s="33">
        <v>172933447</v>
      </c>
      <c r="E18" s="33">
        <v>154857500</v>
      </c>
      <c r="F18" s="34">
        <v>628565988</v>
      </c>
      <c r="G18" s="33">
        <v>1323775794</v>
      </c>
      <c r="H18" s="33">
        <v>1319440529</v>
      </c>
      <c r="I18" s="33">
        <v>1311830231</v>
      </c>
      <c r="J18" s="34">
        <v>1296112517</v>
      </c>
      <c r="K18" s="33">
        <v>1259930486</v>
      </c>
      <c r="L18" s="33">
        <v>1223323048</v>
      </c>
      <c r="M18" s="33">
        <v>1292934276</v>
      </c>
      <c r="N18" s="34">
        <v>1295697888</v>
      </c>
      <c r="O18" s="33">
        <v>1356399159</v>
      </c>
      <c r="P18" s="33"/>
      <c r="Q18" s="34"/>
      <c r="R18" s="34"/>
      <c r="S18" s="53">
        <f t="shared" si="1"/>
        <v>7.6566663059536522E-2</v>
      </c>
      <c r="T18" s="54">
        <f t="shared" si="2"/>
        <v>4.6848321327201292E-2</v>
      </c>
    </row>
    <row r="19" spans="2:20" x14ac:dyDescent="0.4">
      <c r="B19" s="24" t="s">
        <v>53</v>
      </c>
      <c r="C19" s="33">
        <v>2269009279</v>
      </c>
      <c r="D19" s="33">
        <v>1821804171</v>
      </c>
      <c r="E19" s="33">
        <v>2296365680</v>
      </c>
      <c r="F19" s="34">
        <v>2493712616</v>
      </c>
      <c r="G19" s="33">
        <v>1998846547</v>
      </c>
      <c r="H19" s="33">
        <v>1928722955</v>
      </c>
      <c r="I19" s="33">
        <v>1579761018</v>
      </c>
      <c r="J19" s="34">
        <v>2601878566</v>
      </c>
      <c r="K19" s="33">
        <f>K15-SUM(K16:K18)</f>
        <v>2077025430</v>
      </c>
      <c r="L19" s="33">
        <f>L15-SUM(L16:L18)</f>
        <v>2133354590</v>
      </c>
      <c r="M19" s="33">
        <v>1596505415</v>
      </c>
      <c r="N19" s="34">
        <f>N15-SUM(N16:N18)</f>
        <v>1882040103</v>
      </c>
      <c r="O19" s="33">
        <f>O15-SUM(O16:O18)</f>
        <v>1678476175</v>
      </c>
      <c r="P19" s="33"/>
      <c r="Q19" s="34"/>
      <c r="R19" s="34"/>
      <c r="S19" s="53">
        <f t="shared" si="1"/>
        <v>-0.19188462945299611</v>
      </c>
      <c r="T19" s="54">
        <f t="shared" si="2"/>
        <v>-0.10816131264977624</v>
      </c>
    </row>
    <row r="20" spans="2:20" x14ac:dyDescent="0.4">
      <c r="B20" s="11" t="s">
        <v>54</v>
      </c>
      <c r="C20" s="6">
        <f>SUM(C21:C23)</f>
        <v>22750492843</v>
      </c>
      <c r="D20" s="6">
        <f t="shared" ref="D20:J20" si="6">SUM(D21:D23)</f>
        <v>23850623823</v>
      </c>
      <c r="E20" s="6">
        <f t="shared" si="6"/>
        <v>25948357393</v>
      </c>
      <c r="F20" s="6">
        <f t="shared" si="6"/>
        <v>27365860590</v>
      </c>
      <c r="G20" s="43">
        <f t="shared" si="6"/>
        <v>27053691604</v>
      </c>
      <c r="H20" s="6">
        <f t="shared" si="6"/>
        <v>26648890493</v>
      </c>
      <c r="I20" s="6">
        <f t="shared" si="6"/>
        <v>26731161510</v>
      </c>
      <c r="J20" s="16">
        <f t="shared" si="6"/>
        <v>3659918387</v>
      </c>
      <c r="K20" s="43">
        <v>3403715422</v>
      </c>
      <c r="L20" s="6">
        <v>3552023340</v>
      </c>
      <c r="M20" s="6">
        <v>3240162840</v>
      </c>
      <c r="N20" s="16">
        <v>23095128407</v>
      </c>
      <c r="O20" s="43">
        <v>22862696924</v>
      </c>
      <c r="P20" s="6"/>
      <c r="Q20" s="16"/>
      <c r="R20" s="16"/>
      <c r="S20" s="45">
        <f t="shared" si="1"/>
        <v>5.7169824998372025</v>
      </c>
      <c r="T20" s="30">
        <f t="shared" si="2"/>
        <v>-1.0064091392085639E-2</v>
      </c>
    </row>
    <row r="21" spans="2:20" x14ac:dyDescent="0.4">
      <c r="B21" s="24" t="s">
        <v>63</v>
      </c>
      <c r="C21" s="33">
        <v>22551114120</v>
      </c>
      <c r="D21" s="33">
        <v>23669563710</v>
      </c>
      <c r="E21" s="33">
        <v>25796870330</v>
      </c>
      <c r="F21" s="34">
        <v>22637838430</v>
      </c>
      <c r="G21" s="33">
        <v>22975752370</v>
      </c>
      <c r="H21" s="33">
        <v>22844417040</v>
      </c>
      <c r="I21" s="33">
        <v>23100753640</v>
      </c>
      <c r="J21" s="34">
        <v>124750000</v>
      </c>
      <c r="K21" s="33">
        <v>91480000</v>
      </c>
      <c r="L21" s="33">
        <v>58210000</v>
      </c>
      <c r="M21" s="33">
        <v>24940000</v>
      </c>
      <c r="N21" s="34">
        <v>20002770000</v>
      </c>
      <c r="O21" s="33">
        <v>20000000000</v>
      </c>
      <c r="P21" s="33"/>
      <c r="Q21" s="34"/>
      <c r="R21" s="34"/>
      <c r="S21" s="53">
        <f t="shared" si="1"/>
        <v>217.62702229995628</v>
      </c>
      <c r="T21" s="54">
        <f t="shared" si="2"/>
        <v>-1.3848082040635035E-4</v>
      </c>
    </row>
    <row r="22" spans="2:20" x14ac:dyDescent="0.4">
      <c r="B22" s="24" t="s">
        <v>52</v>
      </c>
      <c r="C22" s="33">
        <v>99378723</v>
      </c>
      <c r="D22" s="33">
        <v>181060113</v>
      </c>
      <c r="E22" s="33">
        <v>151487063</v>
      </c>
      <c r="F22" s="34">
        <v>4468758165</v>
      </c>
      <c r="G22" s="33">
        <v>3814733365</v>
      </c>
      <c r="H22" s="33">
        <v>3537308342</v>
      </c>
      <c r="I22" s="33">
        <v>3359175264</v>
      </c>
      <c r="J22" s="34">
        <v>3259757074</v>
      </c>
      <c r="K22" s="33">
        <v>2983731150</v>
      </c>
      <c r="L22" s="33">
        <v>2711698731</v>
      </c>
      <c r="M22" s="33">
        <v>2428577308</v>
      </c>
      <c r="N22" s="34">
        <v>2319436720</v>
      </c>
      <c r="O22" s="33">
        <v>2085183296</v>
      </c>
      <c r="P22" s="33"/>
      <c r="Q22" s="34"/>
      <c r="R22" s="34"/>
      <c r="S22" s="53">
        <f t="shared" si="1"/>
        <v>-0.30114906766985361</v>
      </c>
      <c r="T22" s="54">
        <f t="shared" si="2"/>
        <v>-0.10099582453795075</v>
      </c>
    </row>
    <row r="23" spans="2:20" x14ac:dyDescent="0.4">
      <c r="B23" s="24" t="s">
        <v>64</v>
      </c>
      <c r="C23" s="33">
        <v>100000000</v>
      </c>
      <c r="D23" s="33">
        <v>0</v>
      </c>
      <c r="E23" s="33">
        <v>0</v>
      </c>
      <c r="F23" s="34">
        <v>259263995</v>
      </c>
      <c r="G23" s="33">
        <v>263205869</v>
      </c>
      <c r="H23" s="33">
        <v>267165111</v>
      </c>
      <c r="I23" s="33">
        <v>271232606</v>
      </c>
      <c r="J23" s="34">
        <v>275411313</v>
      </c>
      <c r="K23" s="33">
        <f>K20-K21-K22</f>
        <v>328504272</v>
      </c>
      <c r="L23" s="33">
        <f>L20-SUM(L21:L22)</f>
        <v>782114609</v>
      </c>
      <c r="M23" s="33">
        <v>786645532</v>
      </c>
      <c r="N23" s="34">
        <f>N20-SUM(N21:N22)</f>
        <v>772921687</v>
      </c>
      <c r="O23" s="33">
        <f>O20-SUM(O21:O22)</f>
        <v>777513628</v>
      </c>
      <c r="P23" s="33"/>
      <c r="Q23" s="34"/>
      <c r="R23" s="34"/>
      <c r="S23" s="53">
        <f t="shared" si="1"/>
        <v>1.3668295796165477</v>
      </c>
      <c r="T23" s="54">
        <f t="shared" si="2"/>
        <v>5.9410171524918454E-3</v>
      </c>
    </row>
    <row r="24" spans="2:20" x14ac:dyDescent="0.4">
      <c r="B24" s="11" t="s">
        <v>55</v>
      </c>
      <c r="C24" s="6">
        <f>C15+C20</f>
        <v>37098658820</v>
      </c>
      <c r="D24" s="6">
        <f t="shared" ref="D24:J24" si="7">D15+D20</f>
        <v>39002009952</v>
      </c>
      <c r="E24" s="6">
        <f t="shared" si="7"/>
        <v>41922983163</v>
      </c>
      <c r="F24" s="16">
        <f t="shared" si="7"/>
        <v>46148077396</v>
      </c>
      <c r="G24" s="6">
        <f t="shared" si="7"/>
        <v>42941220789</v>
      </c>
      <c r="H24" s="6">
        <f t="shared" si="7"/>
        <v>43292297732</v>
      </c>
      <c r="I24" s="6">
        <f t="shared" si="7"/>
        <v>43418950598</v>
      </c>
      <c r="J24" s="6">
        <f t="shared" si="7"/>
        <v>43239874352</v>
      </c>
      <c r="K24" s="6">
        <v>41089840789</v>
      </c>
      <c r="L24" s="6">
        <f>L15+L20</f>
        <v>43069351468</v>
      </c>
      <c r="M24" s="6">
        <v>45752403517</v>
      </c>
      <c r="N24" s="6">
        <v>43910679510</v>
      </c>
      <c r="O24" s="6">
        <v>44707837503</v>
      </c>
      <c r="P24" s="6"/>
      <c r="Q24" s="6"/>
      <c r="R24" s="6"/>
      <c r="S24" s="45">
        <f t="shared" si="1"/>
        <v>8.8050881788000579E-2</v>
      </c>
      <c r="T24" s="30">
        <f t="shared" si="2"/>
        <v>1.8154080098406578E-2</v>
      </c>
    </row>
    <row r="25" spans="2:20" x14ac:dyDescent="0.4">
      <c r="B25" s="24" t="s">
        <v>65</v>
      </c>
      <c r="C25" s="33">
        <v>848771300</v>
      </c>
      <c r="D25" s="33">
        <v>1697542600</v>
      </c>
      <c r="E25" s="33">
        <v>1697542600</v>
      </c>
      <c r="F25" s="34">
        <v>1697542600</v>
      </c>
      <c r="G25" s="33">
        <v>1697542600</v>
      </c>
      <c r="H25" s="33">
        <v>1697542600</v>
      </c>
      <c r="I25" s="33">
        <v>1697542600</v>
      </c>
      <c r="J25" s="34">
        <v>1697542600</v>
      </c>
      <c r="K25" s="33">
        <v>1697542600</v>
      </c>
      <c r="L25" s="33">
        <v>1697542600</v>
      </c>
      <c r="M25" s="33">
        <v>1697542600</v>
      </c>
      <c r="N25" s="34">
        <v>1697542600</v>
      </c>
      <c r="O25" s="33">
        <v>1697542600</v>
      </c>
      <c r="P25" s="33"/>
      <c r="Q25" s="34"/>
      <c r="R25" s="34"/>
      <c r="S25" s="53">
        <f t="shared" si="1"/>
        <v>0</v>
      </c>
      <c r="T25" s="54">
        <f t="shared" si="2"/>
        <v>0</v>
      </c>
    </row>
    <row r="26" spans="2:20" x14ac:dyDescent="0.4">
      <c r="B26" s="24" t="s">
        <v>66</v>
      </c>
      <c r="C26" s="33">
        <v>35420272858</v>
      </c>
      <c r="D26" s="33">
        <v>34550549878</v>
      </c>
      <c r="E26" s="33">
        <v>34550549878</v>
      </c>
      <c r="F26" s="34">
        <v>34550549878</v>
      </c>
      <c r="G26" s="33">
        <v>27550549878</v>
      </c>
      <c r="H26" s="33">
        <v>27550549878</v>
      </c>
      <c r="I26" s="33">
        <v>27550549878</v>
      </c>
      <c r="J26" s="34">
        <v>27550549878</v>
      </c>
      <c r="K26" s="33">
        <v>27550549878</v>
      </c>
      <c r="L26" s="33">
        <v>27550549878</v>
      </c>
      <c r="M26" s="33">
        <v>27550549878</v>
      </c>
      <c r="N26" s="34">
        <v>27550549878</v>
      </c>
      <c r="O26" s="33">
        <v>27550549878</v>
      </c>
      <c r="P26" s="33"/>
      <c r="Q26" s="34"/>
      <c r="R26" s="34"/>
      <c r="S26" s="53">
        <f t="shared" si="1"/>
        <v>0</v>
      </c>
      <c r="T26" s="54">
        <f t="shared" si="2"/>
        <v>0</v>
      </c>
    </row>
    <row r="27" spans="2:20" x14ac:dyDescent="0.4">
      <c r="B27" s="24" t="s">
        <v>56</v>
      </c>
      <c r="C27" s="33">
        <v>22043258</v>
      </c>
      <c r="D27" s="33">
        <v>-3463375702</v>
      </c>
      <c r="E27" s="33">
        <v>-3453196567</v>
      </c>
      <c r="F27" s="34">
        <v>-3465182790</v>
      </c>
      <c r="G27" s="35">
        <v>-3462172668</v>
      </c>
      <c r="H27" s="33">
        <v>-5172539586</v>
      </c>
      <c r="I27" s="33">
        <v>-5169971514</v>
      </c>
      <c r="J27" s="34">
        <v>-5755978201</v>
      </c>
      <c r="K27" s="35">
        <v>-5751410073</v>
      </c>
      <c r="L27" s="33">
        <v>-5748039623</v>
      </c>
      <c r="M27" s="33">
        <v>-5753552423</v>
      </c>
      <c r="N27" s="34">
        <v>-5741701974</v>
      </c>
      <c r="O27" s="35">
        <v>-5741980648</v>
      </c>
      <c r="P27" s="33"/>
      <c r="Q27" s="34"/>
      <c r="R27" s="34"/>
      <c r="S27" s="53">
        <f t="shared" si="1"/>
        <v>-1.6394979457762249E-3</v>
      </c>
      <c r="T27" s="54">
        <f t="shared" si="2"/>
        <v>4.8535086157652785E-5</v>
      </c>
    </row>
    <row r="28" spans="2:20" x14ac:dyDescent="0.4">
      <c r="B28" s="24" t="s">
        <v>57</v>
      </c>
      <c r="C28" s="33">
        <v>5197932201</v>
      </c>
      <c r="D28" s="33">
        <v>5759991338</v>
      </c>
      <c r="E28" s="33">
        <v>6025005846</v>
      </c>
      <c r="F28" s="34">
        <v>4410894198</v>
      </c>
      <c r="G28" s="33">
        <v>10786328583</v>
      </c>
      <c r="H28" s="33">
        <v>10539364913</v>
      </c>
      <c r="I28" s="33">
        <v>10138384376</v>
      </c>
      <c r="J28" s="34">
        <v>8436183099</v>
      </c>
      <c r="K28" s="33">
        <v>7215679721</v>
      </c>
      <c r="L28" s="33">
        <v>6034376481</v>
      </c>
      <c r="M28" s="33">
        <v>6034103936</v>
      </c>
      <c r="N28" s="34">
        <v>1829560356</v>
      </c>
      <c r="O28" s="33">
        <v>-475703350</v>
      </c>
      <c r="P28" s="33"/>
      <c r="Q28" s="34"/>
      <c r="R28" s="34"/>
      <c r="S28" s="53">
        <f t="shared" si="1"/>
        <v>-1.0659263393600393</v>
      </c>
      <c r="T28" s="54">
        <f t="shared" si="2"/>
        <v>-1.2600096511929448</v>
      </c>
    </row>
    <row r="29" spans="2:20" x14ac:dyDescent="0.4">
      <c r="B29" s="36" t="s">
        <v>58</v>
      </c>
      <c r="C29" s="6">
        <f>SUM(C25:C28)</f>
        <v>41489019617</v>
      </c>
      <c r="D29" s="6">
        <f t="shared" ref="D29:J29" si="8">SUM(D25:D28)</f>
        <v>38544708114</v>
      </c>
      <c r="E29" s="6">
        <f t="shared" si="8"/>
        <v>38819901757</v>
      </c>
      <c r="F29" s="16">
        <f t="shared" si="8"/>
        <v>37193803886</v>
      </c>
      <c r="G29" s="6">
        <f t="shared" si="8"/>
        <v>36572248393</v>
      </c>
      <c r="H29" s="6">
        <f t="shared" si="8"/>
        <v>34614917805</v>
      </c>
      <c r="I29" s="6">
        <f t="shared" si="8"/>
        <v>34216505340</v>
      </c>
      <c r="J29" s="16">
        <f t="shared" si="8"/>
        <v>31928297376</v>
      </c>
      <c r="K29" s="6">
        <f>SUM(K25:K28)</f>
        <v>30712362126</v>
      </c>
      <c r="L29" s="6">
        <f>SUM(L25:L28)</f>
        <v>29534429336</v>
      </c>
      <c r="M29" s="6">
        <v>29528643991</v>
      </c>
      <c r="N29" s="16">
        <f>SUM(N25:N28)</f>
        <v>25335950860</v>
      </c>
      <c r="O29" s="6">
        <f>SUM(O25:O28)</f>
        <v>23030408480</v>
      </c>
      <c r="P29" s="6"/>
      <c r="Q29" s="16"/>
      <c r="R29" s="16"/>
      <c r="S29" s="45">
        <f t="shared" si="1"/>
        <v>-0.25012578369856908</v>
      </c>
      <c r="T29" s="30">
        <f t="shared" si="2"/>
        <v>-9.0998849529659975E-2</v>
      </c>
    </row>
    <row r="30" spans="2:20" x14ac:dyDescent="0.4">
      <c r="B30" s="14" t="s">
        <v>67</v>
      </c>
      <c r="C30" s="9">
        <f>C29+C24</f>
        <v>78587678437</v>
      </c>
      <c r="D30" s="9">
        <f t="shared" ref="D30:J30" si="9">D29+D24</f>
        <v>77546718066</v>
      </c>
      <c r="E30" s="9">
        <f t="shared" si="9"/>
        <v>80742884920</v>
      </c>
      <c r="F30" s="19">
        <f t="shared" si="9"/>
        <v>83341881282</v>
      </c>
      <c r="G30" s="9">
        <f t="shared" si="9"/>
        <v>79513469182</v>
      </c>
      <c r="H30" s="9">
        <f t="shared" si="9"/>
        <v>77907215537</v>
      </c>
      <c r="I30" s="9">
        <f t="shared" si="9"/>
        <v>77635455938</v>
      </c>
      <c r="J30" s="19">
        <f t="shared" si="9"/>
        <v>75168171728</v>
      </c>
      <c r="K30" s="9">
        <f>K29+K24</f>
        <v>71802202915</v>
      </c>
      <c r="L30" s="9">
        <f>L29+L24</f>
        <v>72603780804</v>
      </c>
      <c r="M30" s="9">
        <v>75281047508</v>
      </c>
      <c r="N30" s="19">
        <f>N29+N24</f>
        <v>69246630370</v>
      </c>
      <c r="O30" s="9">
        <f>O29+O24</f>
        <v>67738245983</v>
      </c>
      <c r="P30" s="9"/>
      <c r="Q30" s="19"/>
      <c r="R30" s="19"/>
      <c r="S30" s="48">
        <f t="shared" si="1"/>
        <v>-5.6599334936992762E-2</v>
      </c>
      <c r="T30" s="32">
        <f t="shared" si="2"/>
        <v>-2.1782783926674432E-2</v>
      </c>
    </row>
    <row r="31" spans="2:20" x14ac:dyDescent="0.4">
      <c r="E31" s="1"/>
    </row>
    <row r="32" spans="2:20" x14ac:dyDescent="0.4">
      <c r="C32" s="2"/>
      <c r="E32" s="2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D334-7018-4F1F-9F5E-017147B91868}">
  <dimension ref="B1:X38"/>
  <sheetViews>
    <sheetView showGridLines="0" topLeftCell="B1" zoomScaleNormal="100" workbookViewId="0">
      <selection activeCell="O7" sqref="O7:O8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  <col min="22" max="22" width="15.59765625" bestFit="1" customWidth="1"/>
    <col min="23" max="23" width="13.5" bestFit="1" customWidth="1"/>
    <col min="24" max="24" width="11.296875" bestFit="1" customWidth="1"/>
  </cols>
  <sheetData>
    <row r="1" spans="2:24" ht="46.95" customHeight="1" x14ac:dyDescent="0.4">
      <c r="B1" s="56" t="s">
        <v>42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24" x14ac:dyDescent="0.4"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</row>
    <row r="3" spans="2:24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86</v>
      </c>
      <c r="P3" s="5" t="s">
        <v>83</v>
      </c>
      <c r="Q3" s="15" t="s">
        <v>84</v>
      </c>
      <c r="R3" s="15" t="s">
        <v>85</v>
      </c>
      <c r="S3" s="26" t="s">
        <v>40</v>
      </c>
      <c r="T3" s="27" t="s">
        <v>41</v>
      </c>
    </row>
    <row r="4" spans="2:24" x14ac:dyDescent="0.4">
      <c r="B4" s="11" t="s">
        <v>10</v>
      </c>
      <c r="C4" s="6">
        <f t="shared" ref="C4:J4" si="0">SUM(C5,C9,C12)</f>
        <v>22225636736.000004</v>
      </c>
      <c r="D4" s="6">
        <f t="shared" si="0"/>
        <v>24438421131</v>
      </c>
      <c r="E4" s="6">
        <f t="shared" si="0"/>
        <v>26290151652</v>
      </c>
      <c r="F4" s="16">
        <f t="shared" si="0"/>
        <v>29565554955</v>
      </c>
      <c r="G4" s="6">
        <f t="shared" si="0"/>
        <v>23804654984</v>
      </c>
      <c r="H4" s="6">
        <f t="shared" si="0"/>
        <v>25378003830</v>
      </c>
      <c r="I4" s="6">
        <f t="shared" si="0"/>
        <v>26707041045</v>
      </c>
      <c r="J4" s="16">
        <f t="shared" si="0"/>
        <v>27141667461</v>
      </c>
      <c r="K4" s="6">
        <f>K5+K9</f>
        <v>22479895638</v>
      </c>
      <c r="L4" s="6">
        <v>24306121317</v>
      </c>
      <c r="M4" s="6">
        <v>26584258606</v>
      </c>
      <c r="N4" s="16">
        <v>28490083786</v>
      </c>
      <c r="O4" s="6">
        <v>21619369876</v>
      </c>
      <c r="P4" s="6"/>
      <c r="Q4" s="16"/>
      <c r="R4" s="16"/>
      <c r="S4" s="29">
        <f t="shared" ref="S4:S36" si="1">+IFERROR((O4/K4-1),"n/a")</f>
        <v>-3.8279793458888101E-2</v>
      </c>
      <c r="T4" s="40">
        <f t="shared" ref="T4:T36" si="2">+IFERROR((O4/N4-1),"n/a")</f>
        <v>-0.24116159017321892</v>
      </c>
    </row>
    <row r="5" spans="2:24" x14ac:dyDescent="0.4">
      <c r="B5" s="12" t="s">
        <v>11</v>
      </c>
      <c r="C5" s="7">
        <f t="shared" ref="C5:O5" si="3">C6+C7+C8</f>
        <v>21432308696.000004</v>
      </c>
      <c r="D5" s="7">
        <f t="shared" si="3"/>
        <v>23563431609.311878</v>
      </c>
      <c r="E5" s="7">
        <f t="shared" si="3"/>
        <v>24600733744.999996</v>
      </c>
      <c r="F5" s="17">
        <f t="shared" si="3"/>
        <v>29546964949.688118</v>
      </c>
      <c r="G5" s="7">
        <f t="shared" si="3"/>
        <v>22760239000</v>
      </c>
      <c r="H5" s="7">
        <f t="shared" si="3"/>
        <v>24193540000</v>
      </c>
      <c r="I5" s="7">
        <f t="shared" si="3"/>
        <v>25662736513</v>
      </c>
      <c r="J5" s="17">
        <f t="shared" si="3"/>
        <v>27066894405</v>
      </c>
      <c r="K5" s="7">
        <f t="shared" si="3"/>
        <v>21916626670</v>
      </c>
      <c r="L5" s="7">
        <f t="shared" si="3"/>
        <v>23823840955.760002</v>
      </c>
      <c r="M5" s="7">
        <f t="shared" si="3"/>
        <v>26021714016.239998</v>
      </c>
      <c r="N5" s="17">
        <f t="shared" si="3"/>
        <v>27818043613</v>
      </c>
      <c r="O5" s="7">
        <f t="shared" si="3"/>
        <v>21042447162</v>
      </c>
      <c r="P5" s="7"/>
      <c r="Q5" s="17"/>
      <c r="R5" s="17"/>
      <c r="S5" s="28">
        <f t="shared" si="1"/>
        <v>-3.9886590266037469E-2</v>
      </c>
      <c r="T5" s="41">
        <f t="shared" si="2"/>
        <v>-0.24356840276983427</v>
      </c>
    </row>
    <row r="6" spans="2:24" x14ac:dyDescent="0.4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37">
        <v>2132582000</v>
      </c>
      <c r="H6" s="37">
        <v>2159520000</v>
      </c>
      <c r="I6" s="37">
        <v>2033334000</v>
      </c>
      <c r="J6" s="38">
        <v>2103721918</v>
      </c>
      <c r="K6" s="37">
        <v>1906143611</v>
      </c>
      <c r="L6" s="37">
        <v>2217594557.8729</v>
      </c>
      <c r="M6" s="37">
        <v>2960404497.1271</v>
      </c>
      <c r="N6" s="38">
        <v>2982525057</v>
      </c>
      <c r="O6" s="37">
        <f>2155335761+96826097</f>
        <v>2252161858</v>
      </c>
      <c r="P6" s="37"/>
      <c r="Q6" s="38"/>
      <c r="R6" s="38"/>
      <c r="S6" s="28">
        <f t="shared" si="1"/>
        <v>0.1815279001032204</v>
      </c>
      <c r="T6" s="41">
        <f t="shared" si="2"/>
        <v>-0.24488082582435788</v>
      </c>
      <c r="U6" s="4"/>
      <c r="W6" s="49"/>
    </row>
    <row r="7" spans="2:24" x14ac:dyDescent="0.4">
      <c r="B7" s="20" t="s">
        <v>80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37">
        <v>20627657000</v>
      </c>
      <c r="H7" s="37">
        <v>22034020000</v>
      </c>
      <c r="I7" s="37">
        <v>23341677650</v>
      </c>
      <c r="J7" s="38">
        <v>24569988635</v>
      </c>
      <c r="K7" s="37">
        <v>19436141280</v>
      </c>
      <c r="L7" s="37">
        <v>20776022274.8871</v>
      </c>
      <c r="M7" s="37">
        <v>21949292138.1129</v>
      </c>
      <c r="N7" s="38">
        <v>23971616908</v>
      </c>
      <c r="O7" s="37">
        <f>18790285304-O8</f>
        <v>18178128866</v>
      </c>
      <c r="P7" s="37"/>
      <c r="Q7" s="38"/>
      <c r="R7" s="38"/>
      <c r="S7" s="28">
        <f t="shared" si="1"/>
        <v>-6.4725420333021977E-2</v>
      </c>
      <c r="T7" s="41">
        <f t="shared" si="2"/>
        <v>-0.24168115418474545</v>
      </c>
      <c r="U7" s="4"/>
      <c r="W7" s="4"/>
      <c r="X7" s="39"/>
    </row>
    <row r="8" spans="2:24" x14ac:dyDescent="0.4">
      <c r="B8" s="20" t="s">
        <v>81</v>
      </c>
      <c r="C8" s="33">
        <v>0</v>
      </c>
      <c r="D8" s="33">
        <v>0</v>
      </c>
      <c r="E8" s="33">
        <v>0</v>
      </c>
      <c r="F8" s="34">
        <v>0</v>
      </c>
      <c r="G8" s="33">
        <v>0</v>
      </c>
      <c r="H8" s="33">
        <v>0</v>
      </c>
      <c r="I8" s="33">
        <v>287724863</v>
      </c>
      <c r="J8" s="34">
        <v>393183852</v>
      </c>
      <c r="K8" s="33">
        <v>574341779</v>
      </c>
      <c r="L8" s="33">
        <v>830224123</v>
      </c>
      <c r="M8" s="33">
        <v>1112017381</v>
      </c>
      <c r="N8" s="34">
        <v>863901648</v>
      </c>
      <c r="O8" s="33">
        <v>612156438</v>
      </c>
      <c r="P8" s="33"/>
      <c r="Q8" s="34"/>
      <c r="R8" s="34"/>
      <c r="S8" s="52">
        <f t="shared" si="1"/>
        <v>6.5839993506723538E-2</v>
      </c>
      <c r="T8" s="41">
        <f t="shared" si="2"/>
        <v>-0.29140494242927983</v>
      </c>
      <c r="W8" s="4"/>
      <c r="X8" s="39"/>
    </row>
    <row r="9" spans="2:24" x14ac:dyDescent="0.4">
      <c r="B9" s="12" t="s">
        <v>14</v>
      </c>
      <c r="C9" s="7">
        <f>SUM(C10:C11)</f>
        <v>757966749</v>
      </c>
      <c r="D9" s="7">
        <f t="shared" ref="D9:J9" si="4">SUM(D10:D11)</f>
        <v>837741781.6881218</v>
      </c>
      <c r="E9" s="7">
        <f t="shared" si="4"/>
        <v>772874506.00000381</v>
      </c>
      <c r="F9" s="17">
        <f t="shared" si="4"/>
        <v>457742780.31188202</v>
      </c>
      <c r="G9" s="7">
        <f t="shared" si="4"/>
        <v>700890127</v>
      </c>
      <c r="H9" s="7">
        <f t="shared" si="4"/>
        <v>780225971</v>
      </c>
      <c r="I9" s="7">
        <f t="shared" si="4"/>
        <v>829170536</v>
      </c>
      <c r="J9" s="17">
        <f t="shared" si="4"/>
        <v>586462176</v>
      </c>
      <c r="K9" s="7">
        <f>SUM(K10:K12)</f>
        <v>563268968</v>
      </c>
      <c r="L9" s="7">
        <f>L10+L11</f>
        <v>353839282.51999992</v>
      </c>
      <c r="M9" s="7">
        <f>M10+M11</f>
        <v>327055385.54000008</v>
      </c>
      <c r="N9" s="17">
        <f>N10+N11</f>
        <v>280446224.29999989</v>
      </c>
      <c r="O9" s="7">
        <f>O10+O11</f>
        <v>303120713.70000005</v>
      </c>
      <c r="P9" s="7"/>
      <c r="Q9" s="17"/>
      <c r="R9" s="17"/>
      <c r="S9" s="28">
        <f t="shared" si="1"/>
        <v>-0.4618544054072582</v>
      </c>
      <c r="T9" s="41">
        <f t="shared" si="2"/>
        <v>8.0851469676927135E-2</v>
      </c>
    </row>
    <row r="10" spans="2:24" x14ac:dyDescent="0.4">
      <c r="B10" s="20" t="s">
        <v>12</v>
      </c>
      <c r="C10" s="8">
        <v>187267749</v>
      </c>
      <c r="D10" s="8">
        <v>314510781.6881218</v>
      </c>
      <c r="E10" s="8">
        <v>257857506.00000381</v>
      </c>
      <c r="F10" s="18">
        <v>-52352219.688117981</v>
      </c>
      <c r="G10" s="37">
        <v>138038928</v>
      </c>
      <c r="H10" s="37">
        <v>229037867</v>
      </c>
      <c r="I10" s="37">
        <v>276798339</v>
      </c>
      <c r="J10" s="38">
        <v>131000162</v>
      </c>
      <c r="K10" s="37">
        <v>102819255</v>
      </c>
      <c r="L10" s="37">
        <v>70300538.181351483</v>
      </c>
      <c r="M10" s="37">
        <v>78687657.989293337</v>
      </c>
      <c r="N10" s="38">
        <v>63290899.595894992</v>
      </c>
      <c r="O10" s="37">
        <v>60648914.262860388</v>
      </c>
      <c r="P10" s="37"/>
      <c r="Q10" s="38"/>
      <c r="R10" s="38"/>
      <c r="S10" s="28">
        <f t="shared" si="1"/>
        <v>-0.41014050079568865</v>
      </c>
      <c r="T10" s="41">
        <f t="shared" si="2"/>
        <v>-4.1743526319002799E-2</v>
      </c>
      <c r="U10" s="4"/>
    </row>
    <row r="11" spans="2:24" x14ac:dyDescent="0.4">
      <c r="B11" s="20" t="s">
        <v>13</v>
      </c>
      <c r="C11" s="8">
        <v>570699000</v>
      </c>
      <c r="D11" s="8">
        <v>523231000</v>
      </c>
      <c r="E11" s="8">
        <v>515017000</v>
      </c>
      <c r="F11" s="18">
        <v>510095000</v>
      </c>
      <c r="G11" s="37">
        <v>562851199</v>
      </c>
      <c r="H11" s="37">
        <v>551188104</v>
      </c>
      <c r="I11" s="37">
        <v>552372197</v>
      </c>
      <c r="J11" s="38">
        <v>455462014</v>
      </c>
      <c r="K11" s="37">
        <v>410787700</v>
      </c>
      <c r="L11" s="37">
        <v>283538744.33864844</v>
      </c>
      <c r="M11" s="37">
        <v>248367727.55070674</v>
      </c>
      <c r="N11" s="38">
        <v>217155324.7041049</v>
      </c>
      <c r="O11" s="37">
        <v>242471799.43713966</v>
      </c>
      <c r="P11" s="37"/>
      <c r="Q11" s="38"/>
      <c r="R11" s="38"/>
      <c r="S11" s="28">
        <f t="shared" si="1"/>
        <v>-0.40973938743263327</v>
      </c>
      <c r="T11" s="41">
        <f t="shared" si="2"/>
        <v>0.11658233463780321</v>
      </c>
      <c r="U11" s="4"/>
      <c r="W11" s="4"/>
    </row>
    <row r="12" spans="2:24" x14ac:dyDescent="0.4">
      <c r="B12" s="12" t="s">
        <v>15</v>
      </c>
      <c r="C12" s="8">
        <v>35361291</v>
      </c>
      <c r="D12" s="8">
        <v>37247740</v>
      </c>
      <c r="E12" s="8">
        <v>916543401</v>
      </c>
      <c r="F12" s="18">
        <v>-439152775</v>
      </c>
      <c r="G12" s="37">
        <v>343525857</v>
      </c>
      <c r="H12" s="37">
        <v>404237859</v>
      </c>
      <c r="I12" s="37">
        <v>215133996</v>
      </c>
      <c r="J12" s="38">
        <v>-511689120</v>
      </c>
      <c r="K12" s="37">
        <v>49662013</v>
      </c>
      <c r="L12" s="37">
        <f>L4-L5-L9</f>
        <v>128441078.71999794</v>
      </c>
      <c r="M12" s="37">
        <f>M4-M5-M9</f>
        <v>235489204.22000206</v>
      </c>
      <c r="N12" s="38">
        <v>391593948.70000011</v>
      </c>
      <c r="O12" s="37">
        <f>O4-O5-O9</f>
        <v>273802000.29999995</v>
      </c>
      <c r="P12" s="37"/>
      <c r="Q12" s="38"/>
      <c r="R12" s="38"/>
      <c r="S12" s="28">
        <f t="shared" si="1"/>
        <v>4.5133085382584062</v>
      </c>
      <c r="T12" s="41">
        <f t="shared" si="2"/>
        <v>-0.30080124780028328</v>
      </c>
    </row>
    <row r="13" spans="2:24" x14ac:dyDescent="0.4">
      <c r="B13" s="11" t="s">
        <v>16</v>
      </c>
      <c r="C13" s="6">
        <f t="shared" ref="C13:J13" si="5">C14+C18+C19+C20+C21+C22</f>
        <v>21446188161</v>
      </c>
      <c r="D13" s="6">
        <f t="shared" si="5"/>
        <v>23910133112</v>
      </c>
      <c r="E13" s="6">
        <f t="shared" si="5"/>
        <v>25549578565</v>
      </c>
      <c r="F13" s="16">
        <f t="shared" si="5"/>
        <v>29111401362</v>
      </c>
      <c r="G13" s="6">
        <f t="shared" si="5"/>
        <v>24153601708</v>
      </c>
      <c r="H13" s="6">
        <f t="shared" si="5"/>
        <v>25415426591</v>
      </c>
      <c r="I13" s="6">
        <f t="shared" si="5"/>
        <v>27218310035</v>
      </c>
      <c r="J13" s="16">
        <f t="shared" si="5"/>
        <v>28527227912</v>
      </c>
      <c r="K13" s="6">
        <v>23945417955</v>
      </c>
      <c r="L13" s="6">
        <v>25214167532</v>
      </c>
      <c r="M13" s="6">
        <f>M4-M23</f>
        <v>26844003988</v>
      </c>
      <c r="N13" s="16">
        <v>29310620676</v>
      </c>
      <c r="O13" s="6">
        <v>23479529981</v>
      </c>
      <c r="P13" s="6"/>
      <c r="Q13" s="16"/>
      <c r="R13" s="16"/>
      <c r="S13" s="29">
        <f t="shared" si="1"/>
        <v>-1.9456247323622833E-2</v>
      </c>
      <c r="T13" s="40">
        <f t="shared" si="2"/>
        <v>-0.19894122200471143</v>
      </c>
    </row>
    <row r="14" spans="2:24" x14ac:dyDescent="0.4">
      <c r="B14" s="12" t="s">
        <v>11</v>
      </c>
      <c r="C14" s="7">
        <f>SUM(C15:C17)</f>
        <v>17981577956</v>
      </c>
      <c r="D14" s="7">
        <f t="shared" ref="D14:J14" si="6">SUM(D15:D17)</f>
        <v>19890007448</v>
      </c>
      <c r="E14" s="7">
        <f t="shared" si="6"/>
        <v>21332485808</v>
      </c>
      <c r="F14" s="17">
        <f t="shared" si="6"/>
        <v>25360332744</v>
      </c>
      <c r="G14" s="7">
        <f t="shared" si="6"/>
        <v>20618812277</v>
      </c>
      <c r="H14" s="7">
        <f t="shared" si="6"/>
        <v>21680646723</v>
      </c>
      <c r="I14" s="7">
        <f t="shared" si="6"/>
        <v>22886374000</v>
      </c>
      <c r="J14" s="17">
        <f t="shared" si="6"/>
        <v>23995681700</v>
      </c>
      <c r="K14" s="7">
        <f>SUM(K15:K17)</f>
        <v>19832565004</v>
      </c>
      <c r="L14" s="7">
        <f>SUM(L15:L17)</f>
        <v>20969874602</v>
      </c>
      <c r="M14" s="7">
        <f>SUM(M15:M17)</f>
        <v>22420817628</v>
      </c>
      <c r="N14" s="17">
        <f>SUM(N15:N17)</f>
        <v>24249226617</v>
      </c>
      <c r="O14" s="7">
        <f>SUM(O15:O17)</f>
        <v>18779257409</v>
      </c>
      <c r="P14" s="7"/>
      <c r="Q14" s="17"/>
      <c r="R14" s="17"/>
      <c r="S14" s="28">
        <f t="shared" si="1"/>
        <v>-5.3110003410429263E-2</v>
      </c>
      <c r="T14" s="41">
        <f t="shared" si="2"/>
        <v>-0.22557293452671434</v>
      </c>
    </row>
    <row r="15" spans="2:24" x14ac:dyDescent="0.4">
      <c r="B15" s="20" t="s">
        <v>17</v>
      </c>
      <c r="C15" s="8">
        <v>2604913509</v>
      </c>
      <c r="D15" s="8">
        <v>2914097918</v>
      </c>
      <c r="E15" s="8">
        <v>2848186635</v>
      </c>
      <c r="F15" s="18">
        <v>3382230285</v>
      </c>
      <c r="G15" s="8">
        <v>2539106545</v>
      </c>
      <c r="H15" s="8">
        <v>2526677455</v>
      </c>
      <c r="I15" s="8">
        <v>2738812000</v>
      </c>
      <c r="J15" s="18">
        <v>2794224568</v>
      </c>
      <c r="K15" s="8">
        <v>2134161365</v>
      </c>
      <c r="L15" s="8">
        <v>2235778955</v>
      </c>
      <c r="M15" s="8">
        <v>2381225529</v>
      </c>
      <c r="N15" s="18">
        <v>2748217644</v>
      </c>
      <c r="O15" s="8">
        <v>2054575073</v>
      </c>
      <c r="P15" s="8"/>
      <c r="Q15" s="18"/>
      <c r="R15" s="18"/>
      <c r="S15" s="28">
        <f t="shared" si="1"/>
        <v>-3.7291600019195403E-2</v>
      </c>
      <c r="T15" s="41">
        <f t="shared" si="2"/>
        <v>-0.25239724827266996</v>
      </c>
    </row>
    <row r="16" spans="2:24" x14ac:dyDescent="0.4">
      <c r="B16" s="20" t="s">
        <v>18</v>
      </c>
      <c r="C16" s="8">
        <v>1085328634</v>
      </c>
      <c r="D16" s="8">
        <v>1036065492</v>
      </c>
      <c r="E16" s="8">
        <v>1106492961</v>
      </c>
      <c r="F16" s="18">
        <v>1090039116</v>
      </c>
      <c r="G16" s="8">
        <v>1052341201</v>
      </c>
      <c r="H16" s="8">
        <v>914878799</v>
      </c>
      <c r="I16" s="8">
        <v>799798000</v>
      </c>
      <c r="J16" s="18">
        <v>843829176</v>
      </c>
      <c r="K16" s="8">
        <f>832935831+2189260</f>
        <v>835125091</v>
      </c>
      <c r="L16" s="8">
        <v>819692956</v>
      </c>
      <c r="M16" s="8">
        <v>1116796567</v>
      </c>
      <c r="N16" s="18">
        <v>1242781212</v>
      </c>
      <c r="O16" s="8">
        <v>999392759</v>
      </c>
      <c r="P16" s="8"/>
      <c r="Q16" s="18"/>
      <c r="R16" s="18"/>
      <c r="S16" s="28">
        <f t="shared" si="1"/>
        <v>0.19669827882108271</v>
      </c>
      <c r="T16" s="41">
        <f t="shared" si="2"/>
        <v>-0.19584175448574448</v>
      </c>
    </row>
    <row r="17" spans="2:20" x14ac:dyDescent="0.4">
      <c r="B17" s="20" t="s">
        <v>19</v>
      </c>
      <c r="C17" s="8">
        <v>14291335813</v>
      </c>
      <c r="D17" s="8">
        <v>15939844038</v>
      </c>
      <c r="E17" s="8">
        <v>17377806212</v>
      </c>
      <c r="F17" s="18">
        <v>20888063343</v>
      </c>
      <c r="G17" s="8">
        <v>17027364531</v>
      </c>
      <c r="H17" s="8">
        <v>18239090469</v>
      </c>
      <c r="I17" s="8">
        <v>19347764000</v>
      </c>
      <c r="J17" s="18">
        <v>20357627956</v>
      </c>
      <c r="K17" s="8">
        <v>16863278548</v>
      </c>
      <c r="L17" s="8">
        <v>17914402691</v>
      </c>
      <c r="M17" s="8">
        <v>18922795532</v>
      </c>
      <c r="N17" s="18">
        <v>20258227761</v>
      </c>
      <c r="O17" s="8">
        <v>15725289577</v>
      </c>
      <c r="P17" s="8"/>
      <c r="Q17" s="18"/>
      <c r="R17" s="18"/>
      <c r="S17" s="28">
        <f t="shared" si="1"/>
        <v>-6.748325764535068E-2</v>
      </c>
      <c r="T17" s="41">
        <f t="shared" si="2"/>
        <v>-0.22375788432621724</v>
      </c>
    </row>
    <row r="18" spans="2:20" x14ac:dyDescent="0.4">
      <c r="B18" s="12" t="s">
        <v>37</v>
      </c>
      <c r="C18" s="7">
        <v>108163200</v>
      </c>
      <c r="D18" s="7">
        <v>81576970</v>
      </c>
      <c r="E18" s="7">
        <v>110007291</v>
      </c>
      <c r="F18" s="17">
        <v>100490145</v>
      </c>
      <c r="G18" s="7">
        <v>18729178</v>
      </c>
      <c r="H18" s="7">
        <v>127081143</v>
      </c>
      <c r="I18" s="7">
        <v>180747777</v>
      </c>
      <c r="J18" s="17">
        <v>32501453</v>
      </c>
      <c r="K18" s="7">
        <v>1789950</v>
      </c>
      <c r="L18" s="7">
        <v>535550</v>
      </c>
      <c r="M18" s="7">
        <v>0</v>
      </c>
      <c r="N18" s="17"/>
      <c r="O18" s="7"/>
      <c r="P18" s="7"/>
      <c r="Q18" s="17"/>
      <c r="R18" s="17"/>
      <c r="S18" s="28">
        <f t="shared" si="1"/>
        <v>-1</v>
      </c>
      <c r="T18" s="41" t="str">
        <f t="shared" si="2"/>
        <v>n/a</v>
      </c>
    </row>
    <row r="19" spans="2:20" x14ac:dyDescent="0.4">
      <c r="B19" s="12" t="s">
        <v>20</v>
      </c>
      <c r="C19" s="7">
        <v>1641838169</v>
      </c>
      <c r="D19" s="7">
        <v>1768123480</v>
      </c>
      <c r="E19" s="7">
        <v>1837836101</v>
      </c>
      <c r="F19" s="17">
        <v>1420758035</v>
      </c>
      <c r="G19" s="7">
        <v>1593881855</v>
      </c>
      <c r="H19" s="7">
        <v>1606296530</v>
      </c>
      <c r="I19" s="7">
        <v>2055226959</v>
      </c>
      <c r="J19" s="17">
        <v>2221671190</v>
      </c>
      <c r="K19" s="7">
        <v>2016412034</v>
      </c>
      <c r="L19" s="7">
        <v>2050892400</v>
      </c>
      <c r="M19" s="7">
        <v>2199787454</v>
      </c>
      <c r="N19" s="17">
        <v>1526066238</v>
      </c>
      <c r="O19" s="7">
        <v>1863865985</v>
      </c>
      <c r="P19" s="7"/>
      <c r="Q19" s="17"/>
      <c r="R19" s="17"/>
      <c r="S19" s="28">
        <f t="shared" si="1"/>
        <v>-7.5652221087666893E-2</v>
      </c>
      <c r="T19" s="41">
        <f t="shared" si="2"/>
        <v>0.22135326671187383</v>
      </c>
    </row>
    <row r="20" spans="2:20" x14ac:dyDescent="0.4">
      <c r="B20" s="12" t="s">
        <v>21</v>
      </c>
      <c r="C20" s="7">
        <v>392892287</v>
      </c>
      <c r="D20" s="7">
        <v>416566812</v>
      </c>
      <c r="E20" s="7">
        <v>539118275</v>
      </c>
      <c r="F20" s="17">
        <v>447892621</v>
      </c>
      <c r="G20" s="7">
        <v>403253310</v>
      </c>
      <c r="H20" s="7">
        <v>479182349</v>
      </c>
      <c r="I20" s="7">
        <v>468006672</v>
      </c>
      <c r="J20" s="17">
        <v>403328038</v>
      </c>
      <c r="K20" s="7">
        <v>381543121</v>
      </c>
      <c r="L20" s="7">
        <v>388293491</v>
      </c>
      <c r="M20" s="7">
        <v>506020941</v>
      </c>
      <c r="N20" s="17">
        <v>538032327</v>
      </c>
      <c r="O20" s="7">
        <v>493676157</v>
      </c>
      <c r="P20" s="7"/>
      <c r="Q20" s="17"/>
      <c r="R20" s="17"/>
      <c r="S20" s="28">
        <f t="shared" si="1"/>
        <v>0.29389348104640578</v>
      </c>
      <c r="T20" s="41">
        <f t="shared" si="2"/>
        <v>-8.2441458949733315E-2</v>
      </c>
    </row>
    <row r="21" spans="2:20" x14ac:dyDescent="0.4">
      <c r="B21" s="12" t="s">
        <v>22</v>
      </c>
      <c r="C21" s="7">
        <v>617697472</v>
      </c>
      <c r="D21" s="7">
        <v>741761138</v>
      </c>
      <c r="E21" s="7">
        <v>542453545</v>
      </c>
      <c r="F21" s="17">
        <v>691554616</v>
      </c>
      <c r="G21" s="7">
        <v>610411838</v>
      </c>
      <c r="H21" s="7">
        <v>636802536</v>
      </c>
      <c r="I21" s="7">
        <v>789727734</v>
      </c>
      <c r="J21" s="17">
        <v>842792830</v>
      </c>
      <c r="K21" s="7">
        <f>473653181+313417081</f>
        <v>787070262</v>
      </c>
      <c r="L21" s="7">
        <v>978931033</v>
      </c>
      <c r="M21" s="7">
        <v>728877000</v>
      </c>
      <c r="N21" s="17">
        <v>756190727</v>
      </c>
      <c r="O21" s="7">
        <f>19242290664+372940930-O15-O16-O17</f>
        <v>835974185</v>
      </c>
      <c r="P21" s="7"/>
      <c r="Q21" s="17"/>
      <c r="R21" s="17"/>
      <c r="S21" s="28">
        <f t="shared" si="1"/>
        <v>6.213412621604042E-2</v>
      </c>
      <c r="T21" s="41">
        <f t="shared" si="2"/>
        <v>0.1055070568195422</v>
      </c>
    </row>
    <row r="22" spans="2:20" x14ac:dyDescent="0.4">
      <c r="B22" s="12" t="s">
        <v>15</v>
      </c>
      <c r="C22" s="7">
        <v>704019077</v>
      </c>
      <c r="D22" s="7">
        <v>1012097264</v>
      </c>
      <c r="E22" s="7">
        <v>1187677545</v>
      </c>
      <c r="F22" s="17">
        <v>1090373201</v>
      </c>
      <c r="G22" s="7">
        <v>908513250</v>
      </c>
      <c r="H22" s="7">
        <v>885417310</v>
      </c>
      <c r="I22" s="7">
        <v>838226893</v>
      </c>
      <c r="J22" s="17">
        <v>1031252701</v>
      </c>
      <c r="K22" s="7">
        <v>926037584</v>
      </c>
      <c r="L22" s="7">
        <v>825640456</v>
      </c>
      <c r="M22" s="7">
        <v>988500965</v>
      </c>
      <c r="N22" s="17">
        <f>N13-N14-N18-N19-N20-N21</f>
        <v>2241104767</v>
      </c>
      <c r="O22" s="7">
        <f>O13-O14-O18-O19-O20-O21</f>
        <v>1506756245</v>
      </c>
      <c r="P22" s="7"/>
      <c r="Q22" s="17"/>
      <c r="R22" s="17"/>
      <c r="S22" s="28">
        <f t="shared" si="1"/>
        <v>0.627100531375409</v>
      </c>
      <c r="T22" s="41">
        <f t="shared" si="2"/>
        <v>-0.32767255364996506</v>
      </c>
    </row>
    <row r="23" spans="2:20" x14ac:dyDescent="0.4">
      <c r="B23" s="11" t="s">
        <v>23</v>
      </c>
      <c r="C23" s="6">
        <f t="shared" ref="C23:N23" si="7">C4-C13</f>
        <v>779448575.00000381</v>
      </c>
      <c r="D23" s="6">
        <f t="shared" si="7"/>
        <v>528288019</v>
      </c>
      <c r="E23" s="6">
        <f t="shared" si="7"/>
        <v>740573087</v>
      </c>
      <c r="F23" s="16">
        <f t="shared" si="7"/>
        <v>454153593</v>
      </c>
      <c r="G23" s="6">
        <f t="shared" si="7"/>
        <v>-348946724</v>
      </c>
      <c r="H23" s="6">
        <f t="shared" si="7"/>
        <v>-37422761</v>
      </c>
      <c r="I23" s="6">
        <f t="shared" si="7"/>
        <v>-511268990</v>
      </c>
      <c r="J23" s="16">
        <f t="shared" si="7"/>
        <v>-1385560451</v>
      </c>
      <c r="K23" s="6">
        <f t="shared" si="7"/>
        <v>-1465522317</v>
      </c>
      <c r="L23" s="6">
        <f t="shared" si="7"/>
        <v>-908046215</v>
      </c>
      <c r="M23" s="6">
        <v>-259745382</v>
      </c>
      <c r="N23" s="16">
        <f t="shared" si="7"/>
        <v>-820536890</v>
      </c>
      <c r="O23" s="6">
        <f>O4-O13</f>
        <v>-1860160105</v>
      </c>
      <c r="P23" s="6"/>
      <c r="Q23" s="16"/>
      <c r="R23" s="16"/>
      <c r="S23" s="29">
        <f t="shared" si="1"/>
        <v>0.26928132272174743</v>
      </c>
      <c r="T23" s="40">
        <f t="shared" si="2"/>
        <v>1.2670036261258164</v>
      </c>
    </row>
    <row r="24" spans="2:20" x14ac:dyDescent="0.4">
      <c r="B24" s="21" t="s">
        <v>24</v>
      </c>
      <c r="C24" s="22">
        <f t="shared" ref="C24:O24" si="8">C23/C4</f>
        <v>3.5069797291228604E-2</v>
      </c>
      <c r="D24" s="22">
        <f t="shared" si="8"/>
        <v>2.1617109230099549E-2</v>
      </c>
      <c r="E24" s="22">
        <f t="shared" si="8"/>
        <v>2.8169220809483673E-2</v>
      </c>
      <c r="F24" s="23">
        <f t="shared" si="8"/>
        <v>1.5360902025726918E-2</v>
      </c>
      <c r="G24" s="22">
        <f t="shared" si="8"/>
        <v>-1.4658759987680568E-2</v>
      </c>
      <c r="H24" s="22">
        <f t="shared" si="8"/>
        <v>-1.4746140496582941E-3</v>
      </c>
      <c r="I24" s="22">
        <f t="shared" si="8"/>
        <v>-1.9143602959928726E-2</v>
      </c>
      <c r="J24" s="23">
        <f t="shared" si="8"/>
        <v>-5.1049201490325491E-2</v>
      </c>
      <c r="K24" s="22">
        <f t="shared" si="8"/>
        <v>-6.5192576540376912E-2</v>
      </c>
      <c r="L24" s="22">
        <f t="shared" si="8"/>
        <v>-3.7358746101744389E-2</v>
      </c>
      <c r="M24" s="22">
        <f t="shared" si="8"/>
        <v>-9.7706460747931535E-3</v>
      </c>
      <c r="N24" s="23">
        <f t="shared" si="8"/>
        <v>-2.8800788939877076E-2</v>
      </c>
      <c r="O24" s="22">
        <f t="shared" si="8"/>
        <v>-8.604136548239516E-2</v>
      </c>
      <c r="P24" s="22"/>
      <c r="Q24" s="23"/>
      <c r="R24" s="23"/>
      <c r="S24" s="28">
        <f t="shared" si="1"/>
        <v>0.31980311330547861</v>
      </c>
      <c r="T24" s="41">
        <f t="shared" si="2"/>
        <v>1.987465574710829</v>
      </c>
    </row>
    <row r="25" spans="2:20" x14ac:dyDescent="0.4">
      <c r="B25" s="13" t="s">
        <v>25</v>
      </c>
      <c r="C25" s="7">
        <f>SUM(C26:C28)</f>
        <v>212145617</v>
      </c>
      <c r="D25" s="7">
        <f t="shared" ref="D25:L25" si="9">SUM(D26:D28)</f>
        <v>1712282070</v>
      </c>
      <c r="E25" s="7">
        <f t="shared" si="9"/>
        <v>2367824246</v>
      </c>
      <c r="F25" s="17">
        <f t="shared" si="9"/>
        <v>-2800863984</v>
      </c>
      <c r="G25" s="7">
        <f t="shared" si="9"/>
        <v>502305098</v>
      </c>
      <c r="H25" s="7">
        <f t="shared" si="9"/>
        <v>400781125</v>
      </c>
      <c r="I25" s="7">
        <f t="shared" si="9"/>
        <v>789824444</v>
      </c>
      <c r="J25" s="17">
        <f t="shared" si="9"/>
        <v>-441677318</v>
      </c>
      <c r="K25" s="7">
        <f>SUM(K26:K28)</f>
        <v>1086743562</v>
      </c>
      <c r="L25" s="7">
        <f t="shared" si="9"/>
        <v>1510649499</v>
      </c>
      <c r="M25" s="7">
        <f>SUM(M26:M28)</f>
        <v>-742731052</v>
      </c>
      <c r="N25" s="17">
        <f>SUM(N26:N28)</f>
        <v>1481168866</v>
      </c>
      <c r="O25" s="7">
        <f>SUM(O26:O28)</f>
        <v>63785091</v>
      </c>
      <c r="P25" s="7"/>
      <c r="Q25" s="17"/>
      <c r="R25" s="17"/>
      <c r="S25" s="28">
        <f t="shared" si="1"/>
        <v>-0.94130621682026583</v>
      </c>
      <c r="T25" s="41">
        <f t="shared" si="2"/>
        <v>-0.9569359764006814</v>
      </c>
    </row>
    <row r="26" spans="2:20" x14ac:dyDescent="0.4">
      <c r="B26" s="24" t="s">
        <v>26</v>
      </c>
      <c r="C26" s="8">
        <v>302807</v>
      </c>
      <c r="D26" s="8">
        <v>2527528</v>
      </c>
      <c r="E26" s="8">
        <v>123430243</v>
      </c>
      <c r="F26" s="18">
        <v>-102685964</v>
      </c>
      <c r="G26" s="8">
        <v>7604365</v>
      </c>
      <c r="H26" s="8">
        <v>34376302</v>
      </c>
      <c r="I26" s="8">
        <v>389767</v>
      </c>
      <c r="J26" s="18">
        <v>153049</v>
      </c>
      <c r="K26" s="8">
        <v>123374</v>
      </c>
      <c r="L26" s="8">
        <v>6161857</v>
      </c>
      <c r="M26" s="8">
        <v>274005</v>
      </c>
      <c r="N26" s="18">
        <v>9396733</v>
      </c>
      <c r="O26" s="8">
        <v>1191133</v>
      </c>
      <c r="P26" s="8"/>
      <c r="Q26" s="18"/>
      <c r="R26" s="18"/>
      <c r="S26" s="28">
        <f t="shared" si="1"/>
        <v>8.6546517094363473</v>
      </c>
      <c r="T26" s="41">
        <f t="shared" si="2"/>
        <v>-0.87323966744612203</v>
      </c>
    </row>
    <row r="27" spans="2:20" x14ac:dyDescent="0.4">
      <c r="B27" s="24" t="s">
        <v>27</v>
      </c>
      <c r="C27" s="8">
        <v>314184313</v>
      </c>
      <c r="D27" s="8">
        <v>1693753550</v>
      </c>
      <c r="E27" s="8">
        <v>2296178030</v>
      </c>
      <c r="F27" s="18">
        <v>-2720195295</v>
      </c>
      <c r="G27" s="25">
        <v>796586711</v>
      </c>
      <c r="H27" s="8">
        <v>515097525</v>
      </c>
      <c r="I27" s="8">
        <v>848056450</v>
      </c>
      <c r="J27" s="18">
        <v>-628404271</v>
      </c>
      <c r="K27" s="25">
        <v>1171407900</v>
      </c>
      <c r="L27" s="8">
        <v>1434127317</v>
      </c>
      <c r="M27" s="8">
        <f>-821368336-138131609-274005</f>
        <v>-959773950</v>
      </c>
      <c r="N27" s="18">
        <v>1752399726</v>
      </c>
      <c r="O27" s="25">
        <v>82578115</v>
      </c>
      <c r="P27" s="8"/>
      <c r="Q27" s="18"/>
      <c r="R27" s="18"/>
      <c r="S27" s="28">
        <f t="shared" si="1"/>
        <v>-0.92950524322057249</v>
      </c>
      <c r="T27" s="41">
        <f t="shared" si="2"/>
        <v>-0.95287712399471125</v>
      </c>
    </row>
    <row r="28" spans="2:20" x14ac:dyDescent="0.4">
      <c r="B28" s="24" t="s">
        <v>28</v>
      </c>
      <c r="C28" s="8">
        <v>-102341503</v>
      </c>
      <c r="D28" s="8">
        <v>16000992</v>
      </c>
      <c r="E28" s="8">
        <v>-51784027</v>
      </c>
      <c r="F28" s="18">
        <v>22017275</v>
      </c>
      <c r="G28" s="8">
        <v>-301885978</v>
      </c>
      <c r="H28" s="8">
        <v>-148692702</v>
      </c>
      <c r="I28" s="8">
        <v>-58621773</v>
      </c>
      <c r="J28" s="18">
        <v>186573904</v>
      </c>
      <c r="K28" s="8">
        <v>-84787712</v>
      </c>
      <c r="L28" s="8">
        <v>70360325</v>
      </c>
      <c r="M28" s="8">
        <f>138131609+78637284</f>
        <v>216768893</v>
      </c>
      <c r="N28" s="18">
        <v>-280627593</v>
      </c>
      <c r="O28" s="8">
        <v>-19984157</v>
      </c>
      <c r="P28" s="8"/>
      <c r="Q28" s="18"/>
      <c r="R28" s="18"/>
      <c r="S28" s="28">
        <f t="shared" si="1"/>
        <v>-0.76430361748645836</v>
      </c>
      <c r="T28" s="41">
        <f t="shared" si="2"/>
        <v>-0.92878762638284118</v>
      </c>
    </row>
    <row r="29" spans="2:20" x14ac:dyDescent="0.4">
      <c r="B29" s="13" t="s">
        <v>29</v>
      </c>
      <c r="C29" s="7">
        <f t="shared" ref="C29:O29" si="10">SUM(C30:C31)</f>
        <v>520592685</v>
      </c>
      <c r="D29" s="7">
        <f t="shared" si="10"/>
        <v>1768859048</v>
      </c>
      <c r="E29" s="7">
        <f t="shared" si="10"/>
        <v>2891282287</v>
      </c>
      <c r="F29" s="17">
        <f t="shared" si="10"/>
        <v>-583149804</v>
      </c>
      <c r="G29" s="7">
        <f t="shared" si="10"/>
        <v>973382484</v>
      </c>
      <c r="H29" s="7">
        <f t="shared" si="10"/>
        <v>778550288</v>
      </c>
      <c r="I29" s="7">
        <f t="shared" si="10"/>
        <v>915397914</v>
      </c>
      <c r="J29" s="17">
        <f t="shared" si="10"/>
        <v>644042938</v>
      </c>
      <c r="K29" s="7">
        <f>SUM(K30:K31)</f>
        <v>1274998533</v>
      </c>
      <c r="L29" s="7">
        <f t="shared" si="10"/>
        <v>1836617930</v>
      </c>
      <c r="M29" s="7">
        <f>-843478087+78637284</f>
        <v>-764840803</v>
      </c>
      <c r="N29" s="17">
        <f t="shared" si="10"/>
        <v>3500953430</v>
      </c>
      <c r="O29" s="7">
        <f t="shared" si="10"/>
        <v>381910540</v>
      </c>
      <c r="P29" s="7"/>
      <c r="Q29" s="17"/>
      <c r="R29" s="17"/>
      <c r="S29" s="28">
        <f t="shared" si="1"/>
        <v>-0.70046197692370216</v>
      </c>
      <c r="T29" s="41">
        <f t="shared" si="2"/>
        <v>-0.89091241924917575</v>
      </c>
    </row>
    <row r="30" spans="2:20" x14ac:dyDescent="0.4">
      <c r="B30" s="24" t="s">
        <v>30</v>
      </c>
      <c r="C30" s="8">
        <v>38417287</v>
      </c>
      <c r="D30" s="8">
        <v>4150176</v>
      </c>
      <c r="E30" s="8">
        <v>263686967</v>
      </c>
      <c r="F30" s="18">
        <v>1762758299</v>
      </c>
      <c r="G30" s="8">
        <v>473954</v>
      </c>
      <c r="H30" s="8">
        <v>935044</v>
      </c>
      <c r="I30" s="8">
        <v>25833499</v>
      </c>
      <c r="J30" s="18">
        <v>31069075</v>
      </c>
      <c r="K30" s="8">
        <v>140833</v>
      </c>
      <c r="L30" s="8">
        <v>804861858</v>
      </c>
      <c r="M30" s="8">
        <v>32927664</v>
      </c>
      <c r="N30" s="18">
        <v>307581721</v>
      </c>
      <c r="O30" s="8">
        <v>928346</v>
      </c>
      <c r="P30" s="8"/>
      <c r="Q30" s="18"/>
      <c r="R30" s="18"/>
      <c r="S30" s="28">
        <f t="shared" si="1"/>
        <v>5.5918215191041876</v>
      </c>
      <c r="T30" s="41">
        <f t="shared" si="2"/>
        <v>-0.99698179073521731</v>
      </c>
    </row>
    <row r="31" spans="2:20" x14ac:dyDescent="0.4">
      <c r="B31" s="24" t="s">
        <v>31</v>
      </c>
      <c r="C31" s="8">
        <v>482175398</v>
      </c>
      <c r="D31" s="8">
        <v>1764708872</v>
      </c>
      <c r="E31" s="8">
        <v>2627595320</v>
      </c>
      <c r="F31" s="18">
        <v>-2345908103</v>
      </c>
      <c r="G31" s="8">
        <v>972908530</v>
      </c>
      <c r="H31" s="8">
        <v>777615244</v>
      </c>
      <c r="I31" s="8">
        <v>889564415</v>
      </c>
      <c r="J31" s="18">
        <v>612973863</v>
      </c>
      <c r="K31" s="8">
        <v>1274857700</v>
      </c>
      <c r="L31" s="8">
        <v>1031756072</v>
      </c>
      <c r="M31" s="8">
        <f>M29-M30</f>
        <v>-797768467</v>
      </c>
      <c r="N31" s="18">
        <v>3193371709</v>
      </c>
      <c r="O31" s="8">
        <v>380982194</v>
      </c>
      <c r="P31" s="8"/>
      <c r="Q31" s="18"/>
      <c r="R31" s="18"/>
      <c r="S31" s="28">
        <f t="shared" si="1"/>
        <v>-0.7011570828650131</v>
      </c>
      <c r="T31" s="41">
        <f t="shared" si="2"/>
        <v>-0.88069594500187265</v>
      </c>
    </row>
    <row r="32" spans="2:20" x14ac:dyDescent="0.4">
      <c r="B32" s="11" t="s">
        <v>32</v>
      </c>
      <c r="C32" s="6">
        <f t="shared" ref="C32:L32" si="11">C23+C25-C29</f>
        <v>471001507.00000381</v>
      </c>
      <c r="D32" s="6">
        <f t="shared" si="11"/>
        <v>471711041</v>
      </c>
      <c r="E32" s="6">
        <f t="shared" si="11"/>
        <v>217115046</v>
      </c>
      <c r="F32" s="16">
        <f t="shared" si="11"/>
        <v>-1763560587</v>
      </c>
      <c r="G32" s="6">
        <f t="shared" si="11"/>
        <v>-820024110</v>
      </c>
      <c r="H32" s="6">
        <f t="shared" si="11"/>
        <v>-415191924</v>
      </c>
      <c r="I32" s="6">
        <f t="shared" si="11"/>
        <v>-636842460</v>
      </c>
      <c r="J32" s="16">
        <f t="shared" si="11"/>
        <v>-2471280707</v>
      </c>
      <c r="K32" s="6">
        <f>K23+K25-K29</f>
        <v>-1653777288</v>
      </c>
      <c r="L32" s="6">
        <f t="shared" si="11"/>
        <v>-1234014646</v>
      </c>
      <c r="M32" s="6">
        <f>M23+M25-M29</f>
        <v>-237635631</v>
      </c>
      <c r="N32" s="16">
        <f>N23+N25-N29</f>
        <v>-2840321454</v>
      </c>
      <c r="O32" s="6">
        <f>O23+O25-O29</f>
        <v>-2178285554</v>
      </c>
      <c r="P32" s="6"/>
      <c r="Q32" s="16"/>
      <c r="R32" s="16"/>
      <c r="S32" s="29">
        <f t="shared" si="1"/>
        <v>0.31715773931949176</v>
      </c>
      <c r="T32" s="40">
        <f t="shared" si="2"/>
        <v>-0.23308484997980095</v>
      </c>
    </row>
    <row r="33" spans="2:20" x14ac:dyDescent="0.4">
      <c r="B33" s="21" t="s">
        <v>33</v>
      </c>
      <c r="C33" s="8">
        <v>120635461</v>
      </c>
      <c r="D33" s="8">
        <v>-145783181</v>
      </c>
      <c r="E33" s="8">
        <v>-73282407</v>
      </c>
      <c r="F33" s="18">
        <v>-167114043</v>
      </c>
      <c r="G33" s="8">
        <v>-223473428</v>
      </c>
      <c r="H33" s="8">
        <v>-195097289</v>
      </c>
      <c r="I33" s="8">
        <v>-245612625</v>
      </c>
      <c r="J33" s="18">
        <v>-785163969</v>
      </c>
      <c r="K33" s="8">
        <v>-454959834</v>
      </c>
      <c r="L33" s="8">
        <v>-53445994</v>
      </c>
      <c r="M33" s="8">
        <v>-210104168</v>
      </c>
      <c r="N33" s="18">
        <v>1317913106</v>
      </c>
      <c r="O33" s="8">
        <v>165905704</v>
      </c>
      <c r="P33" s="8"/>
      <c r="Q33" s="18"/>
      <c r="R33" s="18"/>
      <c r="S33" s="28">
        <f t="shared" si="1"/>
        <v>-1.3646601119517729</v>
      </c>
      <c r="T33" s="41">
        <f t="shared" si="2"/>
        <v>-0.87411483864551531</v>
      </c>
    </row>
    <row r="34" spans="2:20" x14ac:dyDescent="0.4">
      <c r="B34" s="11" t="s">
        <v>34</v>
      </c>
      <c r="C34" s="6">
        <f>C32-C33</f>
        <v>350366046.00000381</v>
      </c>
      <c r="D34" s="6">
        <f t="shared" ref="D34:L34" si="12">D32-D33</f>
        <v>617494222</v>
      </c>
      <c r="E34" s="6">
        <f t="shared" si="12"/>
        <v>290397453</v>
      </c>
      <c r="F34" s="16">
        <f t="shared" si="12"/>
        <v>-1596446544</v>
      </c>
      <c r="G34" s="6">
        <f t="shared" si="12"/>
        <v>-596550682</v>
      </c>
      <c r="H34" s="6">
        <f t="shared" si="12"/>
        <v>-220094635</v>
      </c>
      <c r="I34" s="6">
        <f t="shared" si="12"/>
        <v>-391229835</v>
      </c>
      <c r="J34" s="16">
        <f t="shared" si="12"/>
        <v>-1686116738</v>
      </c>
      <c r="K34" s="6">
        <f>K32-K33</f>
        <v>-1198817454</v>
      </c>
      <c r="L34" s="6">
        <f t="shared" si="12"/>
        <v>-1180568652</v>
      </c>
      <c r="M34" s="6">
        <f>M32-M33</f>
        <v>-27531463</v>
      </c>
      <c r="N34" s="16">
        <f>N32-N33</f>
        <v>-4158234560</v>
      </c>
      <c r="O34" s="6">
        <f>O32-O33</f>
        <v>-2344191258</v>
      </c>
      <c r="P34" s="6"/>
      <c r="Q34" s="16"/>
      <c r="R34" s="16"/>
      <c r="S34" s="29">
        <f t="shared" si="1"/>
        <v>0.95541969311367736</v>
      </c>
      <c r="T34" s="40">
        <f t="shared" si="2"/>
        <v>-0.43625324060603254</v>
      </c>
    </row>
    <row r="35" spans="2:20" x14ac:dyDescent="0.4">
      <c r="B35" s="21" t="s">
        <v>35</v>
      </c>
      <c r="C35" s="8">
        <v>20527642</v>
      </c>
      <c r="D35" s="8">
        <v>7409560</v>
      </c>
      <c r="E35" s="8">
        <v>10179135</v>
      </c>
      <c r="F35" s="18">
        <v>-11986223</v>
      </c>
      <c r="G35" s="8">
        <v>3010122</v>
      </c>
      <c r="H35" s="8">
        <v>-20188158</v>
      </c>
      <c r="I35" s="8">
        <v>2568072</v>
      </c>
      <c r="J35" s="18">
        <v>-4400037</v>
      </c>
      <c r="K35" s="8">
        <v>4568128</v>
      </c>
      <c r="L35" s="8">
        <v>3370450</v>
      </c>
      <c r="M35" s="8">
        <v>-5512800</v>
      </c>
      <c r="N35" s="18">
        <v>11850449</v>
      </c>
      <c r="O35" s="8">
        <v>-278674</v>
      </c>
      <c r="P35" s="8"/>
      <c r="Q35" s="18"/>
      <c r="R35" s="18"/>
      <c r="S35" s="28">
        <f t="shared" si="1"/>
        <v>-1.061003982375275</v>
      </c>
      <c r="T35" s="41">
        <f t="shared" si="2"/>
        <v>-1.0235159022244642</v>
      </c>
    </row>
    <row r="36" spans="2:20" x14ac:dyDescent="0.4">
      <c r="B36" s="14" t="s">
        <v>36</v>
      </c>
      <c r="C36" s="9">
        <f>C34+C35</f>
        <v>370893688.00000381</v>
      </c>
      <c r="D36" s="9">
        <f t="shared" ref="D36:L36" si="13">D34+D35</f>
        <v>624903782</v>
      </c>
      <c r="E36" s="9">
        <f t="shared" si="13"/>
        <v>300576588</v>
      </c>
      <c r="F36" s="19">
        <f t="shared" si="13"/>
        <v>-1608432767</v>
      </c>
      <c r="G36" s="9">
        <f t="shared" si="13"/>
        <v>-593540560</v>
      </c>
      <c r="H36" s="9">
        <f t="shared" si="13"/>
        <v>-240282793</v>
      </c>
      <c r="I36" s="9">
        <f t="shared" si="13"/>
        <v>-388661763</v>
      </c>
      <c r="J36" s="19">
        <f t="shared" si="13"/>
        <v>-1690516775</v>
      </c>
      <c r="K36" s="9">
        <f>K34+K35</f>
        <v>-1194249326</v>
      </c>
      <c r="L36" s="9">
        <f t="shared" si="13"/>
        <v>-1177198202</v>
      </c>
      <c r="M36" s="9">
        <f>M34+M35</f>
        <v>-33044263</v>
      </c>
      <c r="N36" s="19">
        <f>N34+N35</f>
        <v>-4146384111</v>
      </c>
      <c r="O36" s="9">
        <f>O34+O35</f>
        <v>-2344469932</v>
      </c>
      <c r="P36" s="9"/>
      <c r="Q36" s="19"/>
      <c r="R36" s="19"/>
      <c r="S36" s="31">
        <f t="shared" si="1"/>
        <v>0.96313272359343172</v>
      </c>
      <c r="T36" s="42">
        <f t="shared" si="2"/>
        <v>-0.43457483213378056</v>
      </c>
    </row>
    <row r="37" spans="2:20" x14ac:dyDescent="0.4">
      <c r="E37" s="1"/>
    </row>
    <row r="38" spans="2:20" x14ac:dyDescent="0.4">
      <c r="C38" s="2"/>
      <c r="E38" s="2"/>
      <c r="K38" s="39"/>
      <c r="O38" s="39"/>
    </row>
  </sheetData>
  <mergeCells count="1">
    <mergeCell ref="B1:T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F9E2-9301-4869-B72A-B5860D597E3E}">
  <dimension ref="B1:T33"/>
  <sheetViews>
    <sheetView showGridLines="0" zoomScaleNormal="100" workbookViewId="0">
      <selection activeCell="J19" sqref="J19"/>
    </sheetView>
  </sheetViews>
  <sheetFormatPr defaultRowHeight="17.399999999999999" outlineLevelCol="1" x14ac:dyDescent="0.4"/>
  <cols>
    <col min="1" max="1" width="1.69921875" customWidth="1"/>
    <col min="2" max="2" width="25.5" bestFit="1" customWidth="1"/>
    <col min="3" max="6" width="10.69921875" hidden="1" customWidth="1" outlineLevel="1"/>
    <col min="7" max="7" width="10.69921875" customWidth="1" collapsed="1"/>
    <col min="8" max="15" width="10.69921875" customWidth="1"/>
    <col min="16" max="18" width="10.69921875" hidden="1" customWidth="1"/>
    <col min="19" max="20" width="10.69921875" customWidth="1"/>
  </cols>
  <sheetData>
    <row r="1" spans="2:20" ht="46.95" customHeight="1" x14ac:dyDescent="0.4">
      <c r="B1" s="56" t="s">
        <v>69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20" x14ac:dyDescent="0.4">
      <c r="J2" s="3"/>
      <c r="K2" s="3"/>
      <c r="L2" s="3"/>
      <c r="M2" s="3"/>
      <c r="N2" s="3"/>
      <c r="O2" s="3"/>
      <c r="P2" s="3"/>
      <c r="Q2" s="3"/>
      <c r="R2" s="3"/>
      <c r="S2" s="3"/>
    </row>
    <row r="3" spans="2:20" x14ac:dyDescent="0.4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73</v>
      </c>
      <c r="L3" s="5" t="s">
        <v>74</v>
      </c>
      <c r="M3" s="5" t="s">
        <v>78</v>
      </c>
      <c r="N3" s="15" t="s">
        <v>79</v>
      </c>
      <c r="O3" s="5" t="s">
        <v>82</v>
      </c>
      <c r="P3" s="5" t="s">
        <v>83</v>
      </c>
      <c r="Q3" s="5" t="s">
        <v>84</v>
      </c>
      <c r="R3" s="5" t="s">
        <v>85</v>
      </c>
      <c r="S3" s="47" t="s">
        <v>40</v>
      </c>
      <c r="T3" s="44" t="s">
        <v>41</v>
      </c>
    </row>
    <row r="4" spans="2:20" x14ac:dyDescent="0.4">
      <c r="B4" s="11" t="s">
        <v>43</v>
      </c>
      <c r="C4" s="6">
        <f>SUM(C5:C8)</f>
        <v>32856826503</v>
      </c>
      <c r="D4" s="6">
        <f t="shared" ref="D4:J4" si="0">SUM(D5:D8)</f>
        <v>30111031420</v>
      </c>
      <c r="E4" s="6">
        <f t="shared" si="0"/>
        <v>26550610018</v>
      </c>
      <c r="F4" s="16">
        <f t="shared" si="0"/>
        <v>29055394343</v>
      </c>
      <c r="G4" s="6">
        <f t="shared" si="0"/>
        <v>25047846429</v>
      </c>
      <c r="H4" s="6">
        <f t="shared" si="0"/>
        <v>23366903269</v>
      </c>
      <c r="I4" s="6">
        <f t="shared" si="0"/>
        <v>23366915756</v>
      </c>
      <c r="J4" s="16">
        <f t="shared" si="0"/>
        <v>23219781223</v>
      </c>
      <c r="K4" s="6">
        <v>20662888167</v>
      </c>
      <c r="L4" s="6">
        <v>20366640506</v>
      </c>
      <c r="M4" s="6">
        <v>24754880996</v>
      </c>
      <c r="N4" s="16">
        <v>22519803970</v>
      </c>
      <c r="O4" s="6">
        <v>20009837045</v>
      </c>
      <c r="P4" s="6"/>
      <c r="Q4" s="6"/>
      <c r="R4" s="6"/>
      <c r="S4" s="45">
        <f>+IFERROR((O4/K4-1),"n/a")</f>
        <v>-3.1605026205531406E-2</v>
      </c>
      <c r="T4" s="30">
        <f>+IFERROR((O4/N4-1),"n/a")</f>
        <v>-0.11145598462329775</v>
      </c>
    </row>
    <row r="5" spans="2:20" x14ac:dyDescent="0.4">
      <c r="B5" s="24" t="s">
        <v>44</v>
      </c>
      <c r="C5" s="33">
        <v>16622776506</v>
      </c>
      <c r="D5" s="33">
        <v>17471566909</v>
      </c>
      <c r="E5" s="33">
        <v>13538910076</v>
      </c>
      <c r="F5" s="34">
        <v>14623084499</v>
      </c>
      <c r="G5" s="33">
        <v>13260901438</v>
      </c>
      <c r="H5" s="33">
        <v>10605376768</v>
      </c>
      <c r="I5" s="33">
        <v>8703851254</v>
      </c>
      <c r="J5" s="34">
        <v>9274281893</v>
      </c>
      <c r="K5" s="33">
        <v>7001958043</v>
      </c>
      <c r="L5" s="33">
        <v>4618852651</v>
      </c>
      <c r="M5" s="33">
        <v>7846054230</v>
      </c>
      <c r="N5" s="34">
        <v>6488463800</v>
      </c>
      <c r="O5" s="33">
        <v>4386896259</v>
      </c>
      <c r="P5" s="33"/>
      <c r="Q5" s="33"/>
      <c r="R5" s="33"/>
      <c r="S5" s="53">
        <f t="shared" ref="S5:S31" si="1">+IFERROR((O5/K5-1),"n/a")</f>
        <v>-0.37347578605020781</v>
      </c>
      <c r="T5" s="54">
        <f t="shared" ref="T5:T31" si="2">+IFERROR((O5/N5-1),"n/a")</f>
        <v>-0.32389292840009376</v>
      </c>
    </row>
    <row r="6" spans="2:20" x14ac:dyDescent="0.4">
      <c r="B6" s="24" t="s">
        <v>59</v>
      </c>
      <c r="C6" s="33">
        <v>8844000000</v>
      </c>
      <c r="D6" s="33">
        <v>3844000000</v>
      </c>
      <c r="E6" s="33">
        <v>3844000000</v>
      </c>
      <c r="F6" s="34">
        <v>4144000000</v>
      </c>
      <c r="G6" s="33">
        <v>4144000000</v>
      </c>
      <c r="H6" s="33">
        <v>4144000000</v>
      </c>
      <c r="I6" s="33">
        <v>4144000000</v>
      </c>
      <c r="J6" s="34">
        <v>2644000000</v>
      </c>
      <c r="K6" s="33">
        <v>2644000000</v>
      </c>
      <c r="L6" s="33">
        <v>2644000000</v>
      </c>
      <c r="M6" s="33">
        <v>3355891430</v>
      </c>
      <c r="N6" s="34">
        <v>3356605870</v>
      </c>
      <c r="O6" s="33">
        <v>4357280070</v>
      </c>
      <c r="P6" s="33"/>
      <c r="Q6" s="33"/>
      <c r="R6" s="33"/>
      <c r="S6" s="53">
        <f t="shared" si="1"/>
        <v>0.6479879236006052</v>
      </c>
      <c r="T6" s="54">
        <f t="shared" si="2"/>
        <v>0.29812085146594836</v>
      </c>
    </row>
    <row r="7" spans="2:20" x14ac:dyDescent="0.4">
      <c r="B7" s="24" t="s">
        <v>70</v>
      </c>
      <c r="C7" s="33">
        <v>6354953029</v>
      </c>
      <c r="D7" s="33">
        <v>7859302904</v>
      </c>
      <c r="E7" s="33">
        <v>8349310222</v>
      </c>
      <c r="F7" s="34">
        <v>8884302665</v>
      </c>
      <c r="G7" s="33">
        <v>6059639679</v>
      </c>
      <c r="H7" s="33">
        <v>7180375391</v>
      </c>
      <c r="I7" s="33">
        <v>9134947127</v>
      </c>
      <c r="J7" s="34">
        <v>8353403982</v>
      </c>
      <c r="K7" s="33">
        <v>6593079692</v>
      </c>
      <c r="L7" s="33">
        <v>8267316674</v>
      </c>
      <c r="M7" s="33">
        <v>7506925679</v>
      </c>
      <c r="N7" s="34">
        <v>8249217085</v>
      </c>
      <c r="O7" s="33">
        <v>6879419092</v>
      </c>
      <c r="P7" s="33"/>
      <c r="Q7" s="33"/>
      <c r="R7" s="33"/>
      <c r="S7" s="53">
        <f t="shared" si="1"/>
        <v>4.3430295609416358E-2</v>
      </c>
      <c r="T7" s="54">
        <f t="shared" si="2"/>
        <v>-0.16605187848562963</v>
      </c>
    </row>
    <row r="8" spans="2:20" x14ac:dyDescent="0.4">
      <c r="B8" s="24" t="s">
        <v>45</v>
      </c>
      <c r="C8" s="33">
        <v>1035096968</v>
      </c>
      <c r="D8" s="33">
        <v>936161607</v>
      </c>
      <c r="E8" s="33">
        <v>818389720</v>
      </c>
      <c r="F8" s="34">
        <v>1404007179</v>
      </c>
      <c r="G8" s="33">
        <v>1583305312</v>
      </c>
      <c r="H8" s="33">
        <v>1437151110</v>
      </c>
      <c r="I8" s="33">
        <v>1384117375</v>
      </c>
      <c r="J8" s="34">
        <v>2948095348</v>
      </c>
      <c r="K8" s="33">
        <f>K4-SUM(K5:K7)</f>
        <v>4423850432</v>
      </c>
      <c r="L8" s="33">
        <f>L4-SUM(L5:L7)</f>
        <v>4836471181</v>
      </c>
      <c r="M8" s="33">
        <f>M4-M5-M6-M7</f>
        <v>6046009657</v>
      </c>
      <c r="N8" s="34">
        <f>N4-N5-N6-N7</f>
        <v>4425517215</v>
      </c>
      <c r="O8" s="33">
        <f>O4-O5-O6-O7</f>
        <v>4386241624</v>
      </c>
      <c r="P8" s="33"/>
      <c r="Q8" s="33"/>
      <c r="R8" s="33"/>
      <c r="S8" s="53">
        <f t="shared" si="1"/>
        <v>-8.5013742164418149E-3</v>
      </c>
      <c r="T8" s="54">
        <f t="shared" si="2"/>
        <v>-8.8748024449838425E-3</v>
      </c>
    </row>
    <row r="9" spans="2:20" x14ac:dyDescent="0.4">
      <c r="B9" s="11" t="s">
        <v>46</v>
      </c>
      <c r="C9" s="6">
        <f t="shared" ref="C9:J9" si="3">SUM(C10:C14)</f>
        <v>43714864019</v>
      </c>
      <c r="D9" s="6">
        <f t="shared" si="3"/>
        <v>45285753727</v>
      </c>
      <c r="E9" s="6">
        <f t="shared" si="3"/>
        <v>51801021581</v>
      </c>
      <c r="F9" s="6">
        <f t="shared" si="3"/>
        <v>52682658261</v>
      </c>
      <c r="G9" s="43">
        <f t="shared" si="3"/>
        <v>53160329314</v>
      </c>
      <c r="H9" s="6">
        <f t="shared" si="3"/>
        <v>52851264845</v>
      </c>
      <c r="I9" s="6">
        <f t="shared" si="3"/>
        <v>52952951173</v>
      </c>
      <c r="J9" s="16">
        <f t="shared" si="3"/>
        <v>50262370005</v>
      </c>
      <c r="K9" s="6">
        <v>50169995710</v>
      </c>
      <c r="L9" s="6">
        <v>50494065842</v>
      </c>
      <c r="M9" s="6">
        <v>49917733261</v>
      </c>
      <c r="N9" s="16">
        <v>46267456458</v>
      </c>
      <c r="O9" s="6">
        <v>46566347015</v>
      </c>
      <c r="P9" s="6"/>
      <c r="Q9" s="6"/>
      <c r="R9" s="6"/>
      <c r="S9" s="45">
        <f t="shared" si="1"/>
        <v>-7.1828762271185731E-2</v>
      </c>
      <c r="T9" s="30">
        <f t="shared" si="2"/>
        <v>6.4600602644175886E-3</v>
      </c>
    </row>
    <row r="10" spans="2:20" x14ac:dyDescent="0.4">
      <c r="B10" s="24" t="s">
        <v>71</v>
      </c>
      <c r="C10" s="33">
        <v>3505326558</v>
      </c>
      <c r="D10" s="33">
        <v>3528737110</v>
      </c>
      <c r="E10" s="33">
        <v>6987132218</v>
      </c>
      <c r="F10" s="34">
        <v>5217569286</v>
      </c>
      <c r="G10" s="33">
        <v>4918693430</v>
      </c>
      <c r="H10" s="33">
        <v>4770712099</v>
      </c>
      <c r="I10" s="33">
        <v>4714658398</v>
      </c>
      <c r="J10" s="34">
        <v>4896832265</v>
      </c>
      <c r="K10" s="33">
        <v>4816612681</v>
      </c>
      <c r="L10" s="33">
        <v>4890343456</v>
      </c>
      <c r="M10" s="33">
        <v>5101599549</v>
      </c>
      <c r="N10" s="34">
        <v>4832822405</v>
      </c>
      <c r="O10" s="33">
        <v>4812559574</v>
      </c>
      <c r="P10" s="33"/>
      <c r="Q10" s="33"/>
      <c r="R10" s="33"/>
      <c r="S10" s="53">
        <f t="shared" si="1"/>
        <v>-8.4148493317470763E-4</v>
      </c>
      <c r="T10" s="54">
        <f t="shared" si="2"/>
        <v>-4.1927530751050268E-3</v>
      </c>
    </row>
    <row r="11" spans="2:20" x14ac:dyDescent="0.4">
      <c r="B11" s="24" t="s">
        <v>60</v>
      </c>
      <c r="C11" s="33">
        <v>6502944335</v>
      </c>
      <c r="D11" s="33">
        <v>6497478497</v>
      </c>
      <c r="E11" s="33">
        <v>30918792281</v>
      </c>
      <c r="F11" s="34">
        <v>30904175138</v>
      </c>
      <c r="G11" s="33">
        <v>30889557995</v>
      </c>
      <c r="H11" s="33">
        <v>30874940852</v>
      </c>
      <c r="I11" s="33">
        <v>30860323709</v>
      </c>
      <c r="J11" s="34">
        <v>30845706566</v>
      </c>
      <c r="K11" s="33">
        <v>30831089423</v>
      </c>
      <c r="L11" s="33">
        <v>31190737246</v>
      </c>
      <c r="M11" s="33">
        <v>31173771160</v>
      </c>
      <c r="N11" s="34">
        <v>31185936326</v>
      </c>
      <c r="O11" s="33">
        <v>31168785866</v>
      </c>
      <c r="P11" s="33"/>
      <c r="Q11" s="33"/>
      <c r="R11" s="33"/>
      <c r="S11" s="53">
        <f t="shared" si="1"/>
        <v>1.0953114188306357E-2</v>
      </c>
      <c r="T11" s="54">
        <f t="shared" si="2"/>
        <v>-5.4994212201031623E-4</v>
      </c>
    </row>
    <row r="12" spans="2:20" x14ac:dyDescent="0.4">
      <c r="B12" s="24" t="s">
        <v>47</v>
      </c>
      <c r="C12" s="33">
        <v>24791372623</v>
      </c>
      <c r="D12" s="33">
        <v>24590167541</v>
      </c>
      <c r="E12" s="33">
        <v>178478865</v>
      </c>
      <c r="F12" s="34">
        <v>5958504734</v>
      </c>
      <c r="G12" s="33">
        <v>5684960529</v>
      </c>
      <c r="H12" s="33">
        <v>5390568439</v>
      </c>
      <c r="I12" s="33">
        <v>5091288225</v>
      </c>
      <c r="J12" s="34">
        <v>4816258944</v>
      </c>
      <c r="K12" s="33">
        <v>4523393584</v>
      </c>
      <c r="L12" s="33">
        <v>4220606112</v>
      </c>
      <c r="M12" s="33">
        <v>3922023868</v>
      </c>
      <c r="N12" s="34">
        <v>3624441046</v>
      </c>
      <c r="O12" s="33">
        <v>3331334454</v>
      </c>
      <c r="P12" s="33"/>
      <c r="Q12" s="33"/>
      <c r="R12" s="33"/>
      <c r="S12" s="53">
        <f t="shared" si="1"/>
        <v>-0.26353203802926028</v>
      </c>
      <c r="T12" s="54">
        <f t="shared" si="2"/>
        <v>-8.0869460498875445E-2</v>
      </c>
    </row>
    <row r="13" spans="2:20" x14ac:dyDescent="0.4">
      <c r="B13" s="24" t="s">
        <v>48</v>
      </c>
      <c r="C13" s="33">
        <v>269547489</v>
      </c>
      <c r="D13" s="33">
        <v>253713935</v>
      </c>
      <c r="E13" s="33">
        <v>238701421</v>
      </c>
      <c r="F13" s="34">
        <v>662600492</v>
      </c>
      <c r="G13" s="33">
        <v>964598781</v>
      </c>
      <c r="H13" s="33">
        <v>1277952031</v>
      </c>
      <c r="I13" s="33">
        <v>1167315351</v>
      </c>
      <c r="J13" s="34">
        <v>1058407436</v>
      </c>
      <c r="K13" s="33">
        <v>958305114</v>
      </c>
      <c r="L13" s="33">
        <v>736989056</v>
      </c>
      <c r="M13" s="33">
        <v>679515228</v>
      </c>
      <c r="N13" s="34">
        <v>369893528</v>
      </c>
      <c r="O13" s="33">
        <v>352997444</v>
      </c>
      <c r="P13" s="33"/>
      <c r="Q13" s="33"/>
      <c r="R13" s="33"/>
      <c r="S13" s="53">
        <f t="shared" si="1"/>
        <v>-0.63164399433644269</v>
      </c>
      <c r="T13" s="54">
        <f t="shared" si="2"/>
        <v>-4.5678236359950608E-2</v>
      </c>
    </row>
    <row r="14" spans="2:20" x14ac:dyDescent="0.4">
      <c r="B14" s="24" t="s">
        <v>49</v>
      </c>
      <c r="C14" s="33">
        <v>8645673014</v>
      </c>
      <c r="D14" s="33">
        <v>10415656644</v>
      </c>
      <c r="E14" s="33">
        <v>13477916796</v>
      </c>
      <c r="F14" s="34">
        <v>9939808611</v>
      </c>
      <c r="G14" s="33">
        <v>10702518579</v>
      </c>
      <c r="H14" s="33">
        <v>10537091424</v>
      </c>
      <c r="I14" s="33">
        <v>11119365490</v>
      </c>
      <c r="J14" s="34">
        <v>8645164794</v>
      </c>
      <c r="K14" s="33">
        <f>K9-SUM(K10:K13)</f>
        <v>9040594908</v>
      </c>
      <c r="L14" s="33">
        <f>L9-SUM(L10:L13)</f>
        <v>9455389972</v>
      </c>
      <c r="M14" s="33">
        <f>M9-M10-M11-M12-M13</f>
        <v>9040823456</v>
      </c>
      <c r="N14" s="34">
        <f>N9-SUM(N10:N13)</f>
        <v>6254363153</v>
      </c>
      <c r="O14" s="33">
        <f>O9-O10-O11-O12-O13</f>
        <v>6900669677</v>
      </c>
      <c r="P14" s="33"/>
      <c r="Q14" s="33"/>
      <c r="R14" s="33"/>
      <c r="S14" s="53">
        <f t="shared" si="1"/>
        <v>-0.23670181584028116</v>
      </c>
      <c r="T14" s="54">
        <f t="shared" si="2"/>
        <v>0.10333690388444894</v>
      </c>
    </row>
    <row r="15" spans="2:20" x14ac:dyDescent="0.4">
      <c r="B15" s="11" t="s">
        <v>50</v>
      </c>
      <c r="C15" s="6">
        <f t="shared" ref="C15:J15" si="4">C4+C9</f>
        <v>76571690522</v>
      </c>
      <c r="D15" s="6">
        <f t="shared" si="4"/>
        <v>75396785147</v>
      </c>
      <c r="E15" s="6">
        <f t="shared" si="4"/>
        <v>78351631599</v>
      </c>
      <c r="F15" s="16">
        <f t="shared" si="4"/>
        <v>81738052604</v>
      </c>
      <c r="G15" s="6">
        <f t="shared" si="4"/>
        <v>78208175743</v>
      </c>
      <c r="H15" s="6">
        <f t="shared" si="4"/>
        <v>76218168114</v>
      </c>
      <c r="I15" s="6">
        <f t="shared" si="4"/>
        <v>76319866929</v>
      </c>
      <c r="J15" s="16">
        <f t="shared" si="4"/>
        <v>73482151228</v>
      </c>
      <c r="K15" s="6">
        <f>K4+K9</f>
        <v>70832883877</v>
      </c>
      <c r="L15" s="6">
        <f>L4+L9</f>
        <v>70860706348</v>
      </c>
      <c r="M15" s="6">
        <f>M4+M9</f>
        <v>74672614257</v>
      </c>
      <c r="N15" s="16">
        <f>N4+N9</f>
        <v>68787260428</v>
      </c>
      <c r="O15" s="6">
        <f>O4+O9</f>
        <v>66576184060</v>
      </c>
      <c r="P15" s="6"/>
      <c r="Q15" s="6"/>
      <c r="R15" s="6"/>
      <c r="S15" s="45">
        <f t="shared" si="1"/>
        <v>-6.0094966970308361E-2</v>
      </c>
      <c r="T15" s="30">
        <f t="shared" si="2"/>
        <v>-3.2143689896101391E-2</v>
      </c>
    </row>
    <row r="16" spans="2:20" x14ac:dyDescent="0.4">
      <c r="B16" s="11" t="s">
        <v>51</v>
      </c>
      <c r="C16" s="6">
        <f>SUM(C17:C20)</f>
        <v>12662845360</v>
      </c>
      <c r="D16" s="6">
        <f t="shared" ref="D16:J16" si="5">SUM(D17:D20)</f>
        <v>13341746813</v>
      </c>
      <c r="E16" s="6">
        <f t="shared" si="5"/>
        <v>13852090057</v>
      </c>
      <c r="F16" s="16">
        <f t="shared" si="5"/>
        <v>17323998740</v>
      </c>
      <c r="G16" s="6">
        <f t="shared" si="5"/>
        <v>14692806307</v>
      </c>
      <c r="H16" s="6">
        <f t="shared" si="5"/>
        <v>14962778876</v>
      </c>
      <c r="I16" s="6">
        <f t="shared" si="5"/>
        <v>15315578059</v>
      </c>
      <c r="J16" s="16">
        <f t="shared" si="5"/>
        <v>37759544300</v>
      </c>
      <c r="K16" s="6">
        <v>36509620357</v>
      </c>
      <c r="L16" s="6">
        <v>37526277014</v>
      </c>
      <c r="M16" s="6">
        <v>41639196868</v>
      </c>
      <c r="N16" s="16">
        <v>20019049447</v>
      </c>
      <c r="O16" s="6">
        <v>20441056520</v>
      </c>
      <c r="P16" s="6"/>
      <c r="Q16" s="6"/>
      <c r="R16" s="6"/>
      <c r="S16" s="45">
        <f t="shared" si="1"/>
        <v>-0.44011862297875604</v>
      </c>
      <c r="T16" s="30">
        <f t="shared" si="2"/>
        <v>2.1080275270674242E-2</v>
      </c>
    </row>
    <row r="17" spans="2:20" x14ac:dyDescent="0.4">
      <c r="B17" s="24" t="s">
        <v>72</v>
      </c>
      <c r="C17" s="33">
        <v>9778104455</v>
      </c>
      <c r="D17" s="33">
        <v>10620630865</v>
      </c>
      <c r="E17" s="33">
        <v>11038374833</v>
      </c>
      <c r="F17" s="34">
        <v>13495530667</v>
      </c>
      <c r="G17" s="33">
        <v>10707507537</v>
      </c>
      <c r="H17" s="33">
        <v>11237227804</v>
      </c>
      <c r="I17" s="33">
        <v>11844266088</v>
      </c>
      <c r="J17" s="34">
        <v>11908426203</v>
      </c>
      <c r="K17" s="33">
        <v>10064948621</v>
      </c>
      <c r="L17" s="33">
        <v>10870511754</v>
      </c>
      <c r="M17" s="33">
        <v>11303618353</v>
      </c>
      <c r="N17" s="34">
        <v>12010001475</v>
      </c>
      <c r="O17" s="33">
        <v>10162329088</v>
      </c>
      <c r="P17" s="33"/>
      <c r="Q17" s="33"/>
      <c r="R17" s="33"/>
      <c r="S17" s="53">
        <f t="shared" si="1"/>
        <v>9.6752075611017396E-3</v>
      </c>
      <c r="T17" s="54">
        <f t="shared" si="2"/>
        <v>-0.15384447627638609</v>
      </c>
    </row>
    <row r="18" spans="2:20" x14ac:dyDescent="0.4">
      <c r="B18" s="24" t="s">
        <v>61</v>
      </c>
      <c r="C18" s="33">
        <v>1000000000</v>
      </c>
      <c r="D18" s="33">
        <v>1000000000</v>
      </c>
      <c r="E18" s="33">
        <v>1000000000</v>
      </c>
      <c r="F18" s="34">
        <v>1000000000</v>
      </c>
      <c r="G18" s="33">
        <v>1000000000</v>
      </c>
      <c r="H18" s="33">
        <v>1000000000</v>
      </c>
      <c r="I18" s="33">
        <v>1000000000</v>
      </c>
      <c r="J18" s="34">
        <v>22752846900</v>
      </c>
      <c r="K18" s="33">
        <v>23471214670</v>
      </c>
      <c r="L18" s="33">
        <v>23936524670</v>
      </c>
      <c r="M18" s="33">
        <v>27512336560</v>
      </c>
      <c r="N18" s="34">
        <v>5000000000</v>
      </c>
      <c r="O18" s="33">
        <v>7500000000</v>
      </c>
      <c r="P18" s="33"/>
      <c r="Q18" s="33"/>
      <c r="R18" s="33"/>
      <c r="S18" s="53">
        <f t="shared" si="1"/>
        <v>-0.6804596564153873</v>
      </c>
      <c r="T18" s="54">
        <f t="shared" si="2"/>
        <v>0.5</v>
      </c>
    </row>
    <row r="19" spans="2:20" x14ac:dyDescent="0.4">
      <c r="B19" s="24" t="s">
        <v>62</v>
      </c>
      <c r="C19" s="33">
        <v>104228102</v>
      </c>
      <c r="D19" s="33">
        <v>0</v>
      </c>
      <c r="E19" s="33">
        <v>0</v>
      </c>
      <c r="F19" s="34">
        <v>481495149</v>
      </c>
      <c r="G19" s="33">
        <v>1112379750</v>
      </c>
      <c r="H19" s="33">
        <v>1115412496</v>
      </c>
      <c r="I19" s="33">
        <v>1125486025</v>
      </c>
      <c r="J19" s="34">
        <v>1142710519</v>
      </c>
      <c r="K19" s="33">
        <v>1145750905</v>
      </c>
      <c r="L19" s="33">
        <v>1148874422</v>
      </c>
      <c r="M19" s="33">
        <v>1247195209</v>
      </c>
      <c r="N19" s="34">
        <v>1267341008</v>
      </c>
      <c r="O19" s="33">
        <v>1272942972</v>
      </c>
      <c r="P19" s="33"/>
      <c r="Q19" s="33"/>
      <c r="R19" s="33"/>
      <c r="S19" s="53">
        <f t="shared" si="1"/>
        <v>0.11101197166412002</v>
      </c>
      <c r="T19" s="54">
        <f t="shared" si="2"/>
        <v>4.4202499285022068E-3</v>
      </c>
    </row>
    <row r="20" spans="2:20" x14ac:dyDescent="0.4">
      <c r="B20" s="24" t="s">
        <v>53</v>
      </c>
      <c r="C20" s="33">
        <v>1780512803</v>
      </c>
      <c r="D20" s="33">
        <v>1721115948</v>
      </c>
      <c r="E20" s="33">
        <v>1813715224</v>
      </c>
      <c r="F20" s="34">
        <v>2346972924</v>
      </c>
      <c r="G20" s="33">
        <v>1872919020</v>
      </c>
      <c r="H20" s="33">
        <v>1610138576</v>
      </c>
      <c r="I20" s="33">
        <v>1345825946</v>
      </c>
      <c r="J20" s="34">
        <v>1955560678</v>
      </c>
      <c r="K20" s="33">
        <f>K16-SUM(K17:K19)</f>
        <v>1827706161</v>
      </c>
      <c r="L20" s="33">
        <f>L16-SUM(L17:L19)</f>
        <v>1570366168</v>
      </c>
      <c r="M20" s="33">
        <f>M16-M17-M18-M19</f>
        <v>1576046746</v>
      </c>
      <c r="N20" s="34">
        <f>N16-N17-N18-N19</f>
        <v>1741706964</v>
      </c>
      <c r="O20" s="33">
        <f>O16-O17-O18-O19</f>
        <v>1505784460</v>
      </c>
      <c r="P20" s="33"/>
      <c r="Q20" s="33"/>
      <c r="R20" s="33"/>
      <c r="S20" s="53">
        <f t="shared" si="1"/>
        <v>-0.17613427577650975</v>
      </c>
      <c r="T20" s="54">
        <f t="shared" si="2"/>
        <v>-0.13545476298618053</v>
      </c>
    </row>
    <row r="21" spans="2:20" x14ac:dyDescent="0.4">
      <c r="B21" s="11" t="s">
        <v>54</v>
      </c>
      <c r="C21" s="6">
        <f>SUM(C22:C24)</f>
        <v>22276824120</v>
      </c>
      <c r="D21" s="6">
        <f t="shared" ref="D21:J21" si="6">SUM(D22:D24)</f>
        <v>23311893710</v>
      </c>
      <c r="E21" s="6">
        <f t="shared" si="6"/>
        <v>25455820330</v>
      </c>
      <c r="F21" s="16">
        <f t="shared" si="6"/>
        <v>26978765419</v>
      </c>
      <c r="G21" s="6">
        <f t="shared" si="6"/>
        <v>26673621551</v>
      </c>
      <c r="H21" s="6">
        <f t="shared" si="6"/>
        <v>26344102906</v>
      </c>
      <c r="I21" s="6">
        <f t="shared" si="6"/>
        <v>26481664301</v>
      </c>
      <c r="J21" s="16">
        <f t="shared" si="6"/>
        <v>3472105784</v>
      </c>
      <c r="K21" s="6">
        <v>3267011702</v>
      </c>
      <c r="L21" s="6">
        <v>3455375718</v>
      </c>
      <c r="M21" s="6">
        <v>3187408030</v>
      </c>
      <c r="N21" s="16">
        <v>23068585739</v>
      </c>
      <c r="O21" s="6">
        <v>22779972230</v>
      </c>
      <c r="P21" s="6"/>
      <c r="Q21" s="6"/>
      <c r="R21" s="6"/>
      <c r="S21" s="45">
        <f t="shared" si="1"/>
        <v>5.9727244062378322</v>
      </c>
      <c r="T21" s="30">
        <f t="shared" si="2"/>
        <v>-1.2511105460273897E-2</v>
      </c>
    </row>
    <row r="22" spans="2:20" x14ac:dyDescent="0.4">
      <c r="B22" s="24" t="s">
        <v>63</v>
      </c>
      <c r="C22" s="33">
        <v>22176824120</v>
      </c>
      <c r="D22" s="33">
        <v>23311893710</v>
      </c>
      <c r="E22" s="33">
        <v>25455820330</v>
      </c>
      <c r="F22" s="34">
        <v>22380008430</v>
      </c>
      <c r="G22" s="33">
        <v>22745782370</v>
      </c>
      <c r="H22" s="33">
        <v>22647617040</v>
      </c>
      <c r="I22" s="33">
        <v>22937473640</v>
      </c>
      <c r="J22" s="34">
        <v>0</v>
      </c>
      <c r="K22" s="33"/>
      <c r="L22" s="33"/>
      <c r="M22" s="33"/>
      <c r="N22" s="34">
        <v>20000000000</v>
      </c>
      <c r="O22" s="33">
        <v>20000000000</v>
      </c>
      <c r="P22" s="33"/>
      <c r="Q22" s="33"/>
      <c r="R22" s="33"/>
      <c r="S22" s="53" t="str">
        <f t="shared" si="1"/>
        <v>n/a</v>
      </c>
      <c r="T22" s="54">
        <f t="shared" si="2"/>
        <v>0</v>
      </c>
    </row>
    <row r="23" spans="2:20" x14ac:dyDescent="0.4">
      <c r="B23" s="24" t="s">
        <v>52</v>
      </c>
      <c r="C23" s="33">
        <v>0</v>
      </c>
      <c r="D23" s="33">
        <v>0</v>
      </c>
      <c r="E23" s="33">
        <v>0</v>
      </c>
      <c r="F23" s="34">
        <v>4357804990</v>
      </c>
      <c r="G23" s="33">
        <v>3683033312</v>
      </c>
      <c r="H23" s="33">
        <v>3447720755</v>
      </c>
      <c r="I23" s="33">
        <v>3291358055</v>
      </c>
      <c r="J23" s="34">
        <v>3215094471</v>
      </c>
      <c r="K23" s="33">
        <v>2956907430</v>
      </c>
      <c r="L23" s="33">
        <v>2691661109</v>
      </c>
      <c r="M23" s="33">
        <v>2419162498</v>
      </c>
      <c r="N23" s="34">
        <v>2314064052</v>
      </c>
      <c r="O23" s="33">
        <v>2020858602</v>
      </c>
      <c r="P23" s="33"/>
      <c r="Q23" s="33"/>
      <c r="R23" s="33"/>
      <c r="S23" s="53">
        <f t="shared" si="1"/>
        <v>-0.31656345359448745</v>
      </c>
      <c r="T23" s="54">
        <f t="shared" si="2"/>
        <v>-0.12670584884916569</v>
      </c>
    </row>
    <row r="24" spans="2:20" x14ac:dyDescent="0.4">
      <c r="B24" s="24" t="s">
        <v>64</v>
      </c>
      <c r="C24" s="33">
        <v>100000000</v>
      </c>
      <c r="D24" s="33">
        <v>0</v>
      </c>
      <c r="E24" s="33">
        <v>0</v>
      </c>
      <c r="F24" s="34">
        <v>240951999</v>
      </c>
      <c r="G24" s="33">
        <v>244805869</v>
      </c>
      <c r="H24" s="33">
        <v>248765111</v>
      </c>
      <c r="I24" s="33">
        <v>252832606</v>
      </c>
      <c r="J24" s="34">
        <v>257011313</v>
      </c>
      <c r="K24" s="33">
        <f>K21-K22-K23</f>
        <v>310104272</v>
      </c>
      <c r="L24" s="33">
        <f>L21-SUM(L22:L23)</f>
        <v>763714609</v>
      </c>
      <c r="M24" s="33">
        <f>M21-M22-M23</f>
        <v>768245532</v>
      </c>
      <c r="N24" s="34">
        <f>N21-N22-N23</f>
        <v>754521687</v>
      </c>
      <c r="O24" s="33">
        <f>O21-O22-O23</f>
        <v>759113628</v>
      </c>
      <c r="P24" s="33"/>
      <c r="Q24" s="33"/>
      <c r="R24" s="33"/>
      <c r="S24" s="53">
        <f t="shared" si="1"/>
        <v>1.4479302497322579</v>
      </c>
      <c r="T24" s="30">
        <f t="shared" si="2"/>
        <v>6.0858966403705139E-3</v>
      </c>
    </row>
    <row r="25" spans="2:20" x14ac:dyDescent="0.4">
      <c r="B25" s="11" t="s">
        <v>55</v>
      </c>
      <c r="C25" s="6">
        <f>C16+C21</f>
        <v>34939669480</v>
      </c>
      <c r="D25" s="6">
        <f t="shared" ref="D25:J25" si="7">D16+D21</f>
        <v>36653640523</v>
      </c>
      <c r="E25" s="6">
        <f t="shared" si="7"/>
        <v>39307910387</v>
      </c>
      <c r="F25" s="16">
        <f t="shared" si="7"/>
        <v>44302764159</v>
      </c>
      <c r="G25" s="6">
        <f t="shared" si="7"/>
        <v>41366427858</v>
      </c>
      <c r="H25" s="6">
        <f t="shared" si="7"/>
        <v>41306881782</v>
      </c>
      <c r="I25" s="6">
        <f t="shared" si="7"/>
        <v>41797242360</v>
      </c>
      <c r="J25" s="16">
        <f t="shared" si="7"/>
        <v>41231650084</v>
      </c>
      <c r="K25" s="6">
        <f>K16+K21</f>
        <v>39776632059</v>
      </c>
      <c r="L25" s="6">
        <f>L16+L21</f>
        <v>40981652732</v>
      </c>
      <c r="M25" s="6">
        <f>M16+M21</f>
        <v>44826604898</v>
      </c>
      <c r="N25" s="16">
        <f>N16+N21</f>
        <v>43087635186</v>
      </c>
      <c r="O25" s="6">
        <f>O16+O21</f>
        <v>43221028750</v>
      </c>
      <c r="P25" s="6"/>
      <c r="Q25" s="6"/>
      <c r="R25" s="6"/>
      <c r="S25" s="45">
        <f t="shared" si="1"/>
        <v>8.6593472415939621E-2</v>
      </c>
      <c r="T25" s="30">
        <f t="shared" si="2"/>
        <v>3.0958664457718665E-3</v>
      </c>
    </row>
    <row r="26" spans="2:20" x14ac:dyDescent="0.4">
      <c r="B26" s="24" t="s">
        <v>65</v>
      </c>
      <c r="C26" s="33">
        <v>848771300</v>
      </c>
      <c r="D26" s="33">
        <v>1697542600</v>
      </c>
      <c r="E26" s="33">
        <v>1697542600</v>
      </c>
      <c r="F26" s="34">
        <v>1697542600</v>
      </c>
      <c r="G26" s="33">
        <v>1697542600</v>
      </c>
      <c r="H26" s="33">
        <v>1697542600</v>
      </c>
      <c r="I26" s="33">
        <v>1697542600</v>
      </c>
      <c r="J26" s="34">
        <v>1697542600</v>
      </c>
      <c r="K26" s="33">
        <v>1697542600</v>
      </c>
      <c r="L26" s="33">
        <v>1697542600</v>
      </c>
      <c r="M26" s="33">
        <v>1697542600</v>
      </c>
      <c r="N26" s="34">
        <v>1697542600</v>
      </c>
      <c r="O26" s="33">
        <v>1697542600</v>
      </c>
      <c r="P26" s="33"/>
      <c r="Q26" s="33"/>
      <c r="R26" s="33"/>
      <c r="S26" s="53">
        <f t="shared" si="1"/>
        <v>0</v>
      </c>
      <c r="T26" s="54">
        <f t="shared" si="2"/>
        <v>0</v>
      </c>
    </row>
    <row r="27" spans="2:20" x14ac:dyDescent="0.4">
      <c r="B27" s="24" t="s">
        <v>66</v>
      </c>
      <c r="C27" s="33">
        <v>35420272858</v>
      </c>
      <c r="D27" s="33">
        <v>34550549878</v>
      </c>
      <c r="E27" s="33">
        <v>34550549878</v>
      </c>
      <c r="F27" s="34">
        <v>34550549878</v>
      </c>
      <c r="G27" s="33">
        <v>27550549878</v>
      </c>
      <c r="H27" s="33">
        <v>27550549878</v>
      </c>
      <c r="I27" s="33">
        <v>27550549878</v>
      </c>
      <c r="J27" s="34">
        <v>27550549878</v>
      </c>
      <c r="K27" s="33">
        <v>27550549878</v>
      </c>
      <c r="L27" s="33">
        <v>27550549878</v>
      </c>
      <c r="M27" s="33">
        <v>27550549878</v>
      </c>
      <c r="N27" s="34">
        <v>27550549878</v>
      </c>
      <c r="O27" s="33">
        <v>27550549878</v>
      </c>
      <c r="P27" s="33"/>
      <c r="Q27" s="33"/>
      <c r="R27" s="33"/>
      <c r="S27" s="53">
        <f t="shared" si="1"/>
        <v>0</v>
      </c>
      <c r="T27" s="54">
        <f t="shared" si="2"/>
        <v>0</v>
      </c>
    </row>
    <row r="28" spans="2:20" x14ac:dyDescent="0.4">
      <c r="B28" s="24" t="s">
        <v>56</v>
      </c>
      <c r="C28" s="33">
        <v>22043258</v>
      </c>
      <c r="D28" s="33">
        <v>-3463375702</v>
      </c>
      <c r="E28" s="33">
        <v>-3453196567</v>
      </c>
      <c r="F28" s="34">
        <v>-3465182790</v>
      </c>
      <c r="G28" s="35">
        <v>-3462172668</v>
      </c>
      <c r="H28" s="33">
        <v>-5172539586</v>
      </c>
      <c r="I28" s="33">
        <v>-5169971514</v>
      </c>
      <c r="J28" s="34">
        <v>-5755978201</v>
      </c>
      <c r="K28" s="33">
        <v>-5751410073</v>
      </c>
      <c r="L28" s="33">
        <v>-5748039623</v>
      </c>
      <c r="M28" s="33">
        <v>-5753552423</v>
      </c>
      <c r="N28" s="34">
        <v>-5741701974</v>
      </c>
      <c r="O28" s="33">
        <v>-5741980648</v>
      </c>
      <c r="P28" s="33"/>
      <c r="Q28" s="33"/>
      <c r="R28" s="33"/>
      <c r="S28" s="53">
        <f t="shared" si="1"/>
        <v>-1.6394979457762249E-3</v>
      </c>
      <c r="T28" s="54">
        <f t="shared" si="2"/>
        <v>4.8535086157652785E-5</v>
      </c>
    </row>
    <row r="29" spans="2:20" x14ac:dyDescent="0.4">
      <c r="B29" s="24" t="s">
        <v>57</v>
      </c>
      <c r="C29" s="33">
        <v>5340933626</v>
      </c>
      <c r="D29" s="33">
        <v>5958427848</v>
      </c>
      <c r="E29" s="33">
        <v>6248825301</v>
      </c>
      <c r="F29" s="34">
        <v>4652378757</v>
      </c>
      <c r="G29" s="33">
        <v>11055828075</v>
      </c>
      <c r="H29" s="33">
        <v>10835733440</v>
      </c>
      <c r="I29" s="33">
        <v>10444503605</v>
      </c>
      <c r="J29" s="34">
        <v>8758386867</v>
      </c>
      <c r="K29" s="33">
        <v>7559569413</v>
      </c>
      <c r="L29" s="33">
        <v>6379000761</v>
      </c>
      <c r="M29" s="33">
        <v>6351469304</v>
      </c>
      <c r="N29" s="34">
        <v>2193234738</v>
      </c>
      <c r="O29" s="33">
        <v>-150956520</v>
      </c>
      <c r="P29" s="33"/>
      <c r="Q29" s="33"/>
      <c r="R29" s="33"/>
      <c r="S29" s="53">
        <f t="shared" si="1"/>
        <v>-1.0199689310002769</v>
      </c>
      <c r="T29" s="54">
        <f t="shared" si="2"/>
        <v>-1.0688282550811941</v>
      </c>
    </row>
    <row r="30" spans="2:20" x14ac:dyDescent="0.4">
      <c r="B30" s="36" t="s">
        <v>58</v>
      </c>
      <c r="C30" s="6">
        <f>SUM(C26:C29)</f>
        <v>41632021042</v>
      </c>
      <c r="D30" s="6">
        <f t="shared" ref="D30:J30" si="8">SUM(D26:D29)</f>
        <v>38743144624</v>
      </c>
      <c r="E30" s="6">
        <f t="shared" si="8"/>
        <v>39043721212</v>
      </c>
      <c r="F30" s="16">
        <f t="shared" si="8"/>
        <v>37435288445</v>
      </c>
      <c r="G30" s="6">
        <f t="shared" si="8"/>
        <v>36841747885</v>
      </c>
      <c r="H30" s="6">
        <f t="shared" si="8"/>
        <v>34911286332</v>
      </c>
      <c r="I30" s="6">
        <f t="shared" si="8"/>
        <v>34522624569</v>
      </c>
      <c r="J30" s="16">
        <f t="shared" si="8"/>
        <v>32250501144</v>
      </c>
      <c r="K30" s="6">
        <f>SUM(K26:K29)</f>
        <v>31056251818</v>
      </c>
      <c r="L30" s="6">
        <f>SUM(L26:L29)</f>
        <v>29879053616</v>
      </c>
      <c r="M30" s="6">
        <f>SUM(M26:M29)</f>
        <v>29846009359</v>
      </c>
      <c r="N30" s="16">
        <f>SUM(N26:N29)</f>
        <v>25699625242</v>
      </c>
      <c r="O30" s="6">
        <f>SUM(O26:O29)</f>
        <v>23355155310</v>
      </c>
      <c r="P30" s="6"/>
      <c r="Q30" s="6"/>
      <c r="R30" s="6"/>
      <c r="S30" s="45">
        <f t="shared" si="1"/>
        <v>-0.24797250335072618</v>
      </c>
      <c r="T30" s="30">
        <f t="shared" si="2"/>
        <v>-9.1225841230109239E-2</v>
      </c>
    </row>
    <row r="31" spans="2:20" x14ac:dyDescent="0.4">
      <c r="B31" s="14" t="s">
        <v>67</v>
      </c>
      <c r="C31" s="9">
        <f>C25+C30</f>
        <v>76571690522</v>
      </c>
      <c r="D31" s="9">
        <f t="shared" ref="D31:J31" si="9">D25+D30</f>
        <v>75396785147</v>
      </c>
      <c r="E31" s="9">
        <f t="shared" si="9"/>
        <v>78351631599</v>
      </c>
      <c r="F31" s="19">
        <f t="shared" si="9"/>
        <v>81738052604</v>
      </c>
      <c r="G31" s="9">
        <f t="shared" si="9"/>
        <v>78208175743</v>
      </c>
      <c r="H31" s="9">
        <f t="shared" si="9"/>
        <v>76218168114</v>
      </c>
      <c r="I31" s="9">
        <f t="shared" si="9"/>
        <v>76319866929</v>
      </c>
      <c r="J31" s="19">
        <f t="shared" si="9"/>
        <v>73482151228</v>
      </c>
      <c r="K31" s="9">
        <f>K30+K25</f>
        <v>70832883877</v>
      </c>
      <c r="L31" s="9">
        <f>L25+L30</f>
        <v>70860706348</v>
      </c>
      <c r="M31" s="9">
        <f>M25+M30</f>
        <v>74672614257</v>
      </c>
      <c r="N31" s="19">
        <f>N25+N30</f>
        <v>68787260428</v>
      </c>
      <c r="O31" s="9">
        <f>O25+O30</f>
        <v>66576184060</v>
      </c>
      <c r="P31" s="9"/>
      <c r="Q31" s="9"/>
      <c r="R31" s="9"/>
      <c r="S31" s="48">
        <f t="shared" si="1"/>
        <v>-6.0094966970308361E-2</v>
      </c>
      <c r="T31" s="32">
        <f t="shared" si="2"/>
        <v>-3.2143689896101391E-2</v>
      </c>
    </row>
    <row r="32" spans="2:20" x14ac:dyDescent="0.4">
      <c r="E32" s="1"/>
    </row>
    <row r="33" spans="3:5" x14ac:dyDescent="0.4">
      <c r="C33" s="2"/>
      <c r="E33" s="2"/>
    </row>
  </sheetData>
  <mergeCells count="1">
    <mergeCell ref="B1:T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연결IS </vt:lpstr>
      <vt:lpstr>연결BS</vt:lpstr>
      <vt:lpstr>별도IS</vt:lpstr>
      <vt:lpstr>별도BS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김주희</dc:creator>
  <cp:lastModifiedBy>박안나</cp:lastModifiedBy>
  <dcterms:created xsi:type="dcterms:W3CDTF">2024-03-15T07:23:44Z</dcterms:created>
  <dcterms:modified xsi:type="dcterms:W3CDTF">2025-05-21T02:52:40Z</dcterms:modified>
</cp:coreProperties>
</file>