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김주희 업무\IR\팩트시트\최종\"/>
    </mc:Choice>
  </mc:AlternateContent>
  <xr:revisionPtr revIDLastSave="0" documentId="13_ncr:1_{AA6ABC3B-4A7F-42EE-8519-B0E973755888}" xr6:coauthVersionLast="47" xr6:coauthVersionMax="47" xr10:uidLastSave="{00000000-0000-0000-0000-000000000000}"/>
  <bookViews>
    <workbookView xWindow="-108" yWindow="-108" windowWidth="23256" windowHeight="12456" xr2:uid="{41136B2A-E205-403A-B25C-E158338345A3}"/>
  </bookViews>
  <sheets>
    <sheet name="연결IS " sheetId="2" r:id="rId1"/>
    <sheet name="연결BS" sheetId="4" r:id="rId2"/>
    <sheet name="별도IS" sheetId="3" r:id="rId3"/>
    <sheet name="별도BS" sheetId="5" r:id="rId4"/>
  </sheets>
  <externalReferences>
    <externalReference r:id="rId5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P7" i="2"/>
  <c r="O11" i="2"/>
  <c r="P11" i="2"/>
  <c r="O14" i="2"/>
  <c r="P14" i="2"/>
  <c r="O16" i="2"/>
  <c r="P16" i="2"/>
  <c r="O18" i="2"/>
  <c r="P18" i="2"/>
  <c r="O20" i="2"/>
  <c r="P20" i="2"/>
  <c r="O21" i="2"/>
  <c r="P21" i="2"/>
  <c r="O26" i="2"/>
  <c r="O27" i="2"/>
  <c r="O29" i="2"/>
  <c r="P29" i="2"/>
  <c r="O30" i="2"/>
  <c r="P30" i="2"/>
  <c r="O32" i="2"/>
  <c r="P32" i="2"/>
  <c r="O34" i="2"/>
  <c r="P34" i="2"/>
  <c r="K28" i="2"/>
  <c r="K25" i="2"/>
  <c r="K23" i="2"/>
  <c r="K24" i="2" s="1"/>
  <c r="O19" i="2"/>
  <c r="K17" i="2"/>
  <c r="O17" i="2" s="1"/>
  <c r="K15" i="2"/>
  <c r="O15" i="2" s="1"/>
  <c r="K9" i="2"/>
  <c r="K5" i="2"/>
  <c r="K10" i="2"/>
  <c r="O10" i="2" s="1"/>
  <c r="K7" i="2"/>
  <c r="K6" i="2"/>
  <c r="O6" i="2" s="1"/>
  <c r="O5" i="4"/>
  <c r="P5" i="4"/>
  <c r="O6" i="4"/>
  <c r="P6" i="4"/>
  <c r="O7" i="4"/>
  <c r="P7" i="4"/>
  <c r="O8" i="4"/>
  <c r="O10" i="4"/>
  <c r="P10" i="4"/>
  <c r="O11" i="4"/>
  <c r="P11" i="4"/>
  <c r="O12" i="4"/>
  <c r="P12" i="4"/>
  <c r="O13" i="4"/>
  <c r="O16" i="4"/>
  <c r="P16" i="4"/>
  <c r="O17" i="4"/>
  <c r="P17" i="4"/>
  <c r="O18" i="4"/>
  <c r="P18" i="4"/>
  <c r="O19" i="4"/>
  <c r="P19" i="4"/>
  <c r="O21" i="4"/>
  <c r="P21" i="4"/>
  <c r="O22" i="4"/>
  <c r="P22" i="4"/>
  <c r="P23" i="4"/>
  <c r="O25" i="4"/>
  <c r="P25" i="4"/>
  <c r="O26" i="4"/>
  <c r="P26" i="4"/>
  <c r="O27" i="4"/>
  <c r="P27" i="4"/>
  <c r="O28" i="4"/>
  <c r="P28" i="4"/>
  <c r="K30" i="4"/>
  <c r="K29" i="4"/>
  <c r="K23" i="4"/>
  <c r="O23" i="4" s="1"/>
  <c r="K19" i="4"/>
  <c r="K14" i="4"/>
  <c r="K13" i="4"/>
  <c r="P13" i="4" s="1"/>
  <c r="K8" i="4"/>
  <c r="P8" i="4" s="1"/>
  <c r="P35" i="3"/>
  <c r="P33" i="3"/>
  <c r="P34" i="3"/>
  <c r="P32" i="3"/>
  <c r="P31" i="3"/>
  <c r="P24" i="3"/>
  <c r="P25" i="3"/>
  <c r="P26" i="3"/>
  <c r="P27" i="3"/>
  <c r="P28" i="3"/>
  <c r="P29" i="3"/>
  <c r="P30" i="3"/>
  <c r="P23" i="3"/>
  <c r="P22" i="3"/>
  <c r="P14" i="3"/>
  <c r="P15" i="3"/>
  <c r="P16" i="3"/>
  <c r="P17" i="3"/>
  <c r="P18" i="3"/>
  <c r="P19" i="3"/>
  <c r="P20" i="3"/>
  <c r="P21" i="3"/>
  <c r="P13" i="3"/>
  <c r="P12" i="3"/>
  <c r="P6" i="3"/>
  <c r="P7" i="3"/>
  <c r="P8" i="3"/>
  <c r="P9" i="3"/>
  <c r="P10" i="3"/>
  <c r="P11" i="3"/>
  <c r="P5" i="3"/>
  <c r="P4" i="3"/>
  <c r="O35" i="3"/>
  <c r="O34" i="3"/>
  <c r="O32" i="3"/>
  <c r="O33" i="3"/>
  <c r="O31" i="3"/>
  <c r="O24" i="3"/>
  <c r="O25" i="3"/>
  <c r="O26" i="3"/>
  <c r="O27" i="3"/>
  <c r="O28" i="3"/>
  <c r="O29" i="3"/>
  <c r="O30" i="3"/>
  <c r="O23" i="3"/>
  <c r="O22" i="3"/>
  <c r="O14" i="3"/>
  <c r="O15" i="3"/>
  <c r="O16" i="3"/>
  <c r="O17" i="3"/>
  <c r="O18" i="3"/>
  <c r="O19" i="3"/>
  <c r="O20" i="3"/>
  <c r="O21" i="3"/>
  <c r="O13" i="3"/>
  <c r="O12" i="3"/>
  <c r="O6" i="3"/>
  <c r="O7" i="3"/>
  <c r="O8" i="3"/>
  <c r="O9" i="3"/>
  <c r="O10" i="3"/>
  <c r="O11" i="3"/>
  <c r="O5" i="3"/>
  <c r="O4" i="3"/>
  <c r="K35" i="3"/>
  <c r="K33" i="3"/>
  <c r="K31" i="3"/>
  <c r="K28" i="3"/>
  <c r="K24" i="3"/>
  <c r="K23" i="3"/>
  <c r="K22" i="3"/>
  <c r="K20" i="3"/>
  <c r="K13" i="3"/>
  <c r="K15" i="3"/>
  <c r="K5" i="3"/>
  <c r="K8" i="3"/>
  <c r="K8" i="2" l="1"/>
  <c r="P19" i="2"/>
  <c r="P15" i="2"/>
  <c r="P10" i="2"/>
  <c r="P6" i="2"/>
  <c r="K13" i="2"/>
  <c r="K31" i="2"/>
  <c r="P17" i="2"/>
  <c r="P9" i="2"/>
  <c r="O9" i="2"/>
  <c r="K4" i="3"/>
  <c r="O22" i="2" l="1"/>
  <c r="P22" i="2"/>
  <c r="K33" i="2"/>
  <c r="K35" i="2" l="1"/>
  <c r="P31" i="5" l="1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K31" i="5"/>
  <c r="K30" i="5"/>
  <c r="K25" i="5"/>
  <c r="K24" i="5"/>
  <c r="K20" i="5"/>
  <c r="K15" i="5"/>
  <c r="K14" i="5"/>
  <c r="K8" i="5"/>
  <c r="I9" i="2"/>
  <c r="J9" i="4"/>
  <c r="P9" i="4" s="1"/>
  <c r="J4" i="4"/>
  <c r="P4" i="4" s="1"/>
  <c r="I9" i="4" l="1"/>
  <c r="H9" i="4"/>
  <c r="G9" i="4"/>
  <c r="O9" i="4" s="1"/>
  <c r="F9" i="4"/>
  <c r="E9" i="4"/>
  <c r="D9" i="4"/>
  <c r="C9" i="4"/>
  <c r="J16" i="5"/>
  <c r="J9" i="5"/>
  <c r="J28" i="3"/>
  <c r="I28" i="3"/>
  <c r="H28" i="3"/>
  <c r="G28" i="3"/>
  <c r="E28" i="3"/>
  <c r="D28" i="3"/>
  <c r="C28" i="3"/>
  <c r="D30" i="5" l="1"/>
  <c r="E30" i="5"/>
  <c r="F30" i="5"/>
  <c r="G30" i="5"/>
  <c r="H30" i="5"/>
  <c r="I30" i="5"/>
  <c r="J30" i="5"/>
  <c r="C30" i="5"/>
  <c r="D21" i="5"/>
  <c r="E21" i="5"/>
  <c r="F21" i="5"/>
  <c r="G21" i="5"/>
  <c r="H21" i="5"/>
  <c r="I21" i="5"/>
  <c r="J21" i="5"/>
  <c r="C21" i="5"/>
  <c r="D16" i="5"/>
  <c r="D25" i="5" s="1"/>
  <c r="D31" i="5" s="1"/>
  <c r="E16" i="5"/>
  <c r="E25" i="5" s="1"/>
  <c r="E31" i="5" s="1"/>
  <c r="F16" i="5"/>
  <c r="F25" i="5" s="1"/>
  <c r="F31" i="5" s="1"/>
  <c r="G16" i="5"/>
  <c r="G25" i="5" s="1"/>
  <c r="G31" i="5" s="1"/>
  <c r="H16" i="5"/>
  <c r="H25" i="5" s="1"/>
  <c r="H31" i="5" s="1"/>
  <c r="I16" i="5"/>
  <c r="I25" i="5" s="1"/>
  <c r="I31" i="5" s="1"/>
  <c r="C16" i="5"/>
  <c r="D9" i="5"/>
  <c r="E9" i="5"/>
  <c r="F9" i="5"/>
  <c r="G9" i="5"/>
  <c r="H9" i="5"/>
  <c r="I9" i="5"/>
  <c r="C9" i="5"/>
  <c r="D4" i="5"/>
  <c r="D15" i="5" s="1"/>
  <c r="E4" i="5"/>
  <c r="E15" i="5" s="1"/>
  <c r="F4" i="5"/>
  <c r="F15" i="5" s="1"/>
  <c r="G4" i="5"/>
  <c r="G15" i="5" s="1"/>
  <c r="H4" i="5"/>
  <c r="H15" i="5" s="1"/>
  <c r="I4" i="5"/>
  <c r="I15" i="5" s="1"/>
  <c r="J4" i="5"/>
  <c r="C4" i="5"/>
  <c r="C15" i="5" s="1"/>
  <c r="D29" i="4"/>
  <c r="E29" i="4"/>
  <c r="F29" i="4"/>
  <c r="G29" i="4"/>
  <c r="O29" i="4" s="1"/>
  <c r="H29" i="4"/>
  <c r="I29" i="4"/>
  <c r="J29" i="4"/>
  <c r="P29" i="4" s="1"/>
  <c r="C29" i="4"/>
  <c r="D20" i="4"/>
  <c r="E20" i="4"/>
  <c r="F20" i="4"/>
  <c r="G20" i="4"/>
  <c r="O20" i="4" s="1"/>
  <c r="H20" i="4"/>
  <c r="I20" i="4"/>
  <c r="J20" i="4"/>
  <c r="P20" i="4" s="1"/>
  <c r="C20" i="4"/>
  <c r="D15" i="4"/>
  <c r="D24" i="4" s="1"/>
  <c r="E15" i="4"/>
  <c r="E24" i="4" s="1"/>
  <c r="F15" i="4"/>
  <c r="G15" i="4"/>
  <c r="H15" i="4"/>
  <c r="H24" i="4" s="1"/>
  <c r="I15" i="4"/>
  <c r="I24" i="4" s="1"/>
  <c r="J15" i="4"/>
  <c r="C15" i="4"/>
  <c r="C24" i="4" s="1"/>
  <c r="D4" i="4"/>
  <c r="D14" i="4" s="1"/>
  <c r="E4" i="4"/>
  <c r="E14" i="4" s="1"/>
  <c r="F4" i="4"/>
  <c r="G4" i="4"/>
  <c r="H4" i="4"/>
  <c r="H14" i="4" s="1"/>
  <c r="I4" i="4"/>
  <c r="C4" i="4"/>
  <c r="C14" i="4" s="1"/>
  <c r="J24" i="4" l="1"/>
  <c r="P24" i="4" s="1"/>
  <c r="P15" i="4"/>
  <c r="G14" i="4"/>
  <c r="O14" i="4" s="1"/>
  <c r="O4" i="4"/>
  <c r="G24" i="4"/>
  <c r="O24" i="4" s="1"/>
  <c r="O15" i="4"/>
  <c r="C25" i="5"/>
  <c r="C31" i="5" s="1"/>
  <c r="J25" i="5"/>
  <c r="J31" i="5" s="1"/>
  <c r="E30" i="4"/>
  <c r="C30" i="4"/>
  <c r="H30" i="4"/>
  <c r="D30" i="4"/>
  <c r="I30" i="4"/>
  <c r="J14" i="4"/>
  <c r="P14" i="4" s="1"/>
  <c r="F24" i="4"/>
  <c r="J30" i="4"/>
  <c r="P30" i="4" s="1"/>
  <c r="J15" i="5"/>
  <c r="I14" i="4"/>
  <c r="F14" i="4"/>
  <c r="G30" i="4" l="1"/>
  <c r="O30" i="4" s="1"/>
  <c r="F30" i="4"/>
  <c r="F28" i="3"/>
  <c r="C8" i="3" l="1"/>
  <c r="J24" i="3"/>
  <c r="I24" i="3"/>
  <c r="H24" i="3"/>
  <c r="G24" i="3"/>
  <c r="F24" i="3"/>
  <c r="E24" i="3"/>
  <c r="D24" i="3"/>
  <c r="C24" i="3"/>
  <c r="I13" i="3"/>
  <c r="I12" i="3" s="1"/>
  <c r="H13" i="3"/>
  <c r="H12" i="3" s="1"/>
  <c r="G13" i="3"/>
  <c r="G12" i="3" s="1"/>
  <c r="F13" i="3"/>
  <c r="F12" i="3" s="1"/>
  <c r="E13" i="3"/>
  <c r="E12" i="3" s="1"/>
  <c r="D13" i="3"/>
  <c r="D12" i="3" s="1"/>
  <c r="C13" i="3"/>
  <c r="C12" i="3" s="1"/>
  <c r="D8" i="3"/>
  <c r="J8" i="3"/>
  <c r="I8" i="3"/>
  <c r="H8" i="3"/>
  <c r="G8" i="3"/>
  <c r="I5" i="3"/>
  <c r="H5" i="3"/>
  <c r="G5" i="3"/>
  <c r="E5" i="3"/>
  <c r="D5" i="3"/>
  <c r="C5" i="3"/>
  <c r="J28" i="2"/>
  <c r="P28" i="2" s="1"/>
  <c r="I28" i="2"/>
  <c r="H28" i="2"/>
  <c r="G28" i="2"/>
  <c r="O28" i="2" s="1"/>
  <c r="F28" i="2"/>
  <c r="E28" i="2"/>
  <c r="D28" i="2"/>
  <c r="C28" i="2"/>
  <c r="J27" i="2"/>
  <c r="P27" i="2" s="1"/>
  <c r="J26" i="2"/>
  <c r="P26" i="2" s="1"/>
  <c r="I25" i="2"/>
  <c r="H25" i="2"/>
  <c r="G25" i="2"/>
  <c r="O25" i="2" s="1"/>
  <c r="F25" i="2"/>
  <c r="E25" i="2"/>
  <c r="D25" i="2"/>
  <c r="C25" i="2"/>
  <c r="I13" i="2"/>
  <c r="I12" i="2" s="1"/>
  <c r="H13" i="2"/>
  <c r="H12" i="2" s="1"/>
  <c r="G13" i="2"/>
  <c r="F13" i="2"/>
  <c r="F12" i="2" s="1"/>
  <c r="E13" i="2"/>
  <c r="E12" i="2" s="1"/>
  <c r="D13" i="2"/>
  <c r="D12" i="2" s="1"/>
  <c r="C13" i="2"/>
  <c r="C12" i="2" s="1"/>
  <c r="D10" i="2"/>
  <c r="D9" i="2" s="1"/>
  <c r="D8" i="2" s="1"/>
  <c r="H8" i="2"/>
  <c r="G8" i="2"/>
  <c r="O8" i="2" s="1"/>
  <c r="C9" i="2"/>
  <c r="C8" i="2" s="1"/>
  <c r="J8" i="2"/>
  <c r="P8" i="2" s="1"/>
  <c r="J5" i="2"/>
  <c r="P5" i="2" s="1"/>
  <c r="H5" i="2"/>
  <c r="G5" i="2"/>
  <c r="O5" i="2" s="1"/>
  <c r="F5" i="2"/>
  <c r="E5" i="2"/>
  <c r="D5" i="2"/>
  <c r="C5" i="2"/>
  <c r="I5" i="2"/>
  <c r="G12" i="2" l="1"/>
  <c r="O12" i="2" s="1"/>
  <c r="O13" i="2"/>
  <c r="J25" i="2"/>
  <c r="P25" i="2" s="1"/>
  <c r="C4" i="3"/>
  <c r="J13" i="3"/>
  <c r="J5" i="3"/>
  <c r="C4" i="2"/>
  <c r="C23" i="2" s="1"/>
  <c r="C31" i="2" s="1"/>
  <c r="C33" i="2" s="1"/>
  <c r="C35" i="2" s="1"/>
  <c r="H4" i="2"/>
  <c r="H23" i="2" s="1"/>
  <c r="H31" i="2" s="1"/>
  <c r="H33" i="2" s="1"/>
  <c r="H35" i="2" s="1"/>
  <c r="G4" i="2"/>
  <c r="I8" i="2"/>
  <c r="I4" i="2" s="1"/>
  <c r="I23" i="2" s="1"/>
  <c r="I31" i="2" s="1"/>
  <c r="I33" i="2" s="1"/>
  <c r="I35" i="2" s="1"/>
  <c r="J4" i="2"/>
  <c r="P4" i="2" s="1"/>
  <c r="J13" i="2"/>
  <c r="P13" i="2" s="1"/>
  <c r="J4" i="3"/>
  <c r="G4" i="3"/>
  <c r="I4" i="3"/>
  <c r="H4" i="3"/>
  <c r="D4" i="3"/>
  <c r="D22" i="3" s="1"/>
  <c r="D23" i="3" s="1"/>
  <c r="C22" i="3"/>
  <c r="E8" i="3"/>
  <c r="E4" i="3" s="1"/>
  <c r="E22" i="3" s="1"/>
  <c r="F5" i="3"/>
  <c r="D4" i="2"/>
  <c r="D23" i="2" s="1"/>
  <c r="E10" i="2"/>
  <c r="G23" i="2" l="1"/>
  <c r="O4" i="2"/>
  <c r="J12" i="3"/>
  <c r="I22" i="3"/>
  <c r="I23" i="3" s="1"/>
  <c r="G22" i="3"/>
  <c r="H22" i="3"/>
  <c r="H31" i="3" s="1"/>
  <c r="H33" i="3" s="1"/>
  <c r="H35" i="3" s="1"/>
  <c r="H24" i="2"/>
  <c r="C24" i="2"/>
  <c r="I24" i="2"/>
  <c r="J12" i="2"/>
  <c r="P12" i="2" s="1"/>
  <c r="G31" i="2"/>
  <c r="J22" i="3"/>
  <c r="D31" i="3"/>
  <c r="D33" i="3" s="1"/>
  <c r="D35" i="3" s="1"/>
  <c r="C23" i="3"/>
  <c r="C31" i="3"/>
  <c r="C33" i="3" s="1"/>
  <c r="C35" i="3" s="1"/>
  <c r="E31" i="3"/>
  <c r="E33" i="3" s="1"/>
  <c r="E35" i="3" s="1"/>
  <c r="E23" i="3"/>
  <c r="E9" i="2"/>
  <c r="E8" i="2" s="1"/>
  <c r="E4" i="2" s="1"/>
  <c r="E23" i="2" s="1"/>
  <c r="F10" i="2"/>
  <c r="D31" i="2"/>
  <c r="D33" i="2" s="1"/>
  <c r="D35" i="2" s="1"/>
  <c r="D24" i="2"/>
  <c r="G33" i="2" l="1"/>
  <c r="O31" i="2"/>
  <c r="G24" i="2"/>
  <c r="O24" i="2" s="1"/>
  <c r="O23" i="2"/>
  <c r="G31" i="3"/>
  <c r="G33" i="3" s="1"/>
  <c r="G35" i="3" s="1"/>
  <c r="I31" i="3"/>
  <c r="I33" i="3" s="1"/>
  <c r="I35" i="3" s="1"/>
  <c r="H23" i="3"/>
  <c r="J23" i="3"/>
  <c r="G23" i="3"/>
  <c r="J31" i="3"/>
  <c r="J33" i="3" s="1"/>
  <c r="F9" i="2"/>
  <c r="J23" i="2"/>
  <c r="P23" i="2" s="1"/>
  <c r="F8" i="3"/>
  <c r="E24" i="2"/>
  <c r="E31" i="2"/>
  <c r="E33" i="2" s="1"/>
  <c r="E35" i="2" s="1"/>
  <c r="G35" i="2" l="1"/>
  <c r="O35" i="2" s="1"/>
  <c r="O33" i="2"/>
  <c r="J24" i="2"/>
  <c r="P24" i="2" s="1"/>
  <c r="J31" i="2"/>
  <c r="P31" i="2" s="1"/>
  <c r="F8" i="2"/>
  <c r="F4" i="3"/>
  <c r="J35" i="3"/>
  <c r="F4" i="2" l="1"/>
  <c r="J33" i="2"/>
  <c r="P33" i="2" s="1"/>
  <c r="F22" i="3"/>
  <c r="J35" i="2" l="1"/>
  <c r="P35" i="2" s="1"/>
  <c r="F23" i="2"/>
  <c r="F31" i="3"/>
  <c r="F23" i="3"/>
  <c r="F31" i="2" l="1"/>
  <c r="F24" i="2"/>
  <c r="F33" i="3"/>
  <c r="F33" i="2" l="1"/>
  <c r="F35" i="3"/>
  <c r="F35" i="2" l="1"/>
</calcChain>
</file>

<file path=xl/sharedStrings.xml><?xml version="1.0" encoding="utf-8"?>
<sst xmlns="http://schemas.openxmlformats.org/spreadsheetml/2006/main" count="171" uniqueCount="74">
  <si>
    <t>연결손익계산서(IFRS)</t>
    <phoneticPr fontId="2" type="noConversion"/>
  </si>
  <si>
    <t>(백만원)</t>
    <phoneticPr fontId="2" type="noConversion"/>
  </si>
  <si>
    <t>1Q22</t>
    <phoneticPr fontId="2" type="noConversion"/>
  </si>
  <si>
    <t>2Q22</t>
    <phoneticPr fontId="2" type="noConversion"/>
  </si>
  <si>
    <t>3Q22</t>
    <phoneticPr fontId="2" type="noConversion"/>
  </si>
  <si>
    <t>4Q22</t>
    <phoneticPr fontId="2" type="noConversion"/>
  </si>
  <si>
    <t>1Q23</t>
  </si>
  <si>
    <t>2Q23</t>
  </si>
  <si>
    <t>3Q23</t>
  </si>
  <si>
    <t>4Q23</t>
  </si>
  <si>
    <t>영업수익</t>
    <phoneticPr fontId="2" type="noConversion"/>
  </si>
  <si>
    <t>모바일 포인트 광고</t>
    <phoneticPr fontId="2" type="noConversion"/>
  </si>
  <si>
    <t>B2C</t>
    <phoneticPr fontId="2" type="noConversion"/>
  </si>
  <si>
    <t>B2B</t>
    <phoneticPr fontId="2" type="noConversion"/>
  </si>
  <si>
    <t>모바일 포인트 쇼핑</t>
    <phoneticPr fontId="2" type="noConversion"/>
  </si>
  <si>
    <t>기타</t>
    <phoneticPr fontId="2" type="noConversion"/>
  </si>
  <si>
    <t>영업비용</t>
    <phoneticPr fontId="2" type="noConversion"/>
  </si>
  <si>
    <t>대행사수수료</t>
    <phoneticPr fontId="2" type="noConversion"/>
  </si>
  <si>
    <t>포인트지급수수료</t>
    <phoneticPr fontId="2" type="noConversion"/>
  </si>
  <si>
    <t>매체사지급수수료</t>
    <phoneticPr fontId="2" type="noConversion"/>
  </si>
  <si>
    <t>인건비</t>
    <phoneticPr fontId="2" type="noConversion"/>
  </si>
  <si>
    <t>인프라</t>
    <phoneticPr fontId="2" type="noConversion"/>
  </si>
  <si>
    <t>수수료</t>
    <phoneticPr fontId="2" type="noConversion"/>
  </si>
  <si>
    <t>영업이익</t>
    <phoneticPr fontId="2" type="noConversion"/>
  </si>
  <si>
    <t>영업이익율</t>
    <phoneticPr fontId="2" type="noConversion"/>
  </si>
  <si>
    <t>영업외수익</t>
    <phoneticPr fontId="2" type="noConversion"/>
  </si>
  <si>
    <t>기타이익</t>
    <phoneticPr fontId="2" type="noConversion"/>
  </si>
  <si>
    <t>금융수익</t>
    <phoneticPr fontId="2" type="noConversion"/>
  </si>
  <si>
    <t>지분법이익</t>
    <phoneticPr fontId="2" type="noConversion"/>
  </si>
  <si>
    <t>영업외비용</t>
    <phoneticPr fontId="2" type="noConversion"/>
  </si>
  <si>
    <t>기타손실</t>
    <phoneticPr fontId="2" type="noConversion"/>
  </si>
  <si>
    <t>금융비용</t>
    <phoneticPr fontId="2" type="noConversion"/>
  </si>
  <si>
    <t>법인세차감전순이익</t>
    <phoneticPr fontId="2" type="noConversion"/>
  </si>
  <si>
    <t>법인세비용</t>
    <phoneticPr fontId="2" type="noConversion"/>
  </si>
  <si>
    <t>당기순이익</t>
    <phoneticPr fontId="2" type="noConversion"/>
  </si>
  <si>
    <t>기타포괄손익</t>
    <phoneticPr fontId="2" type="noConversion"/>
  </si>
  <si>
    <t>총포괄이익</t>
    <phoneticPr fontId="2" type="noConversion"/>
  </si>
  <si>
    <t>모바일 포인트 쇼핑원가</t>
    <phoneticPr fontId="2" type="noConversion"/>
  </si>
  <si>
    <t>광고대행, 제작 비용</t>
    <phoneticPr fontId="2" type="noConversion"/>
  </si>
  <si>
    <t>광고대행, 제작, 기타</t>
    <phoneticPr fontId="2" type="noConversion"/>
  </si>
  <si>
    <t>Y/Y</t>
    <phoneticPr fontId="2" type="noConversion"/>
  </si>
  <si>
    <t>Q/Q</t>
    <phoneticPr fontId="2" type="noConversion"/>
  </si>
  <si>
    <t>별도손익계산서(IFRS)</t>
    <phoneticPr fontId="2" type="noConversion"/>
  </si>
  <si>
    <t>유동자산</t>
    <phoneticPr fontId="2" type="noConversion"/>
  </si>
  <si>
    <t>현금및현금성자산</t>
    <phoneticPr fontId="2" type="noConversion"/>
  </si>
  <si>
    <t>기타유동자산</t>
    <phoneticPr fontId="2" type="noConversion"/>
  </si>
  <si>
    <t>비유동자산</t>
    <phoneticPr fontId="2" type="noConversion"/>
  </si>
  <si>
    <t>유형자산</t>
    <phoneticPr fontId="2" type="noConversion"/>
  </si>
  <si>
    <t>무형자산</t>
    <phoneticPr fontId="2" type="noConversion"/>
  </si>
  <si>
    <t>기타비유동자산</t>
    <phoneticPr fontId="2" type="noConversion"/>
  </si>
  <si>
    <t>자산총계</t>
    <phoneticPr fontId="2" type="noConversion"/>
  </si>
  <si>
    <t>유동부채</t>
    <phoneticPr fontId="2" type="noConversion"/>
  </si>
  <si>
    <t>리스부채</t>
    <phoneticPr fontId="2" type="noConversion"/>
  </si>
  <si>
    <t>기타유동부채</t>
    <phoneticPr fontId="2" type="noConversion"/>
  </si>
  <si>
    <t>비유동부채</t>
    <phoneticPr fontId="2" type="noConversion"/>
  </si>
  <si>
    <t>부채총계</t>
    <phoneticPr fontId="2" type="noConversion"/>
  </si>
  <si>
    <t>기타자본구성요소</t>
  </si>
  <si>
    <t xml:space="preserve">이익잉여금 </t>
  </si>
  <si>
    <t>자본총계</t>
    <phoneticPr fontId="2" type="noConversion"/>
  </si>
  <si>
    <t>단기금융상품</t>
    <phoneticPr fontId="2" type="noConversion"/>
  </si>
  <si>
    <t>투자부동산</t>
    <phoneticPr fontId="2" type="noConversion"/>
  </si>
  <si>
    <t>차입부채</t>
    <phoneticPr fontId="2" type="noConversion"/>
  </si>
  <si>
    <t>유동성리스부채</t>
    <phoneticPr fontId="2" type="noConversion"/>
  </si>
  <si>
    <t>비유동차입부채</t>
    <phoneticPr fontId="2" type="noConversion"/>
  </si>
  <si>
    <t>기타비유동부채</t>
    <phoneticPr fontId="2" type="noConversion"/>
  </si>
  <si>
    <t>자본금</t>
    <phoneticPr fontId="2" type="noConversion"/>
  </si>
  <si>
    <t>자본잉여금</t>
    <phoneticPr fontId="2" type="noConversion"/>
  </si>
  <si>
    <t>부채와자본총계</t>
    <phoneticPr fontId="2" type="noConversion"/>
  </si>
  <si>
    <t>연결재무상태표(IFRS)</t>
    <phoneticPr fontId="2" type="noConversion"/>
  </si>
  <si>
    <t>별도재무상태표(IFRS)</t>
    <phoneticPr fontId="2" type="noConversion"/>
  </si>
  <si>
    <t>매출채권및기타수취채권</t>
    <phoneticPr fontId="2" type="noConversion"/>
  </si>
  <si>
    <t>종속기업투자주식</t>
    <phoneticPr fontId="2" type="noConversion"/>
  </si>
  <si>
    <t>매입채무및기타지급채무</t>
    <phoneticPr fontId="2" type="noConversion"/>
  </si>
  <si>
    <t>1Q24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</si>
</sst>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.0%"/>
    <numFmt numFmtId="177" formatCode="_-* #,##0.0_-;\-* #,##0.0_-;_-* &quot;-&quot;_-;_-@_-"/>
    <numFmt numFmtId="178" formatCode="#,###,,"/>
    <numFmt numFmtId="179" formatCode="0.0%;[Red]\-0.0%"/>
    <numFmt numFmtId="185" formatCode="#,###.000000,,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41" fontId="0" fillId="0" borderId="0" xfId="1" applyFont="1">
      <alignment vertical="center"/>
    </xf>
    <xf numFmtId="177" fontId="0" fillId="0" borderId="0" xfId="1" applyNumberFormat="1" applyFont="1">
      <alignment vertical="center"/>
    </xf>
    <xf numFmtId="41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1" xfId="0" applyFont="1" applyFill="1" applyBorder="1" applyAlignment="1">
      <alignment horizontal="center" vertical="center"/>
    </xf>
    <xf numFmtId="178" fontId="5" fillId="4" borderId="0" xfId="1" applyNumberFormat="1" applyFont="1" applyFill="1" applyBorder="1">
      <alignment vertical="center"/>
    </xf>
    <xf numFmtId="178" fontId="5" fillId="0" borderId="0" xfId="1" applyNumberFormat="1" applyFont="1" applyBorder="1">
      <alignment vertical="center"/>
    </xf>
    <xf numFmtId="178" fontId="6" fillId="0" borderId="0" xfId="1" applyNumberFormat="1" applyFont="1" applyBorder="1">
      <alignment vertical="center"/>
    </xf>
    <xf numFmtId="178" fontId="5" fillId="4" borderId="4" xfId="1" applyNumberFormat="1" applyFont="1" applyFill="1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0" fontId="5" fillId="4" borderId="7" xfId="0" applyFont="1" applyFill="1" applyBorder="1">
      <alignment vertical="center"/>
    </xf>
    <xf numFmtId="0" fontId="5" fillId="0" borderId="7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/>
    </xf>
    <xf numFmtId="0" fontId="5" fillId="4" borderId="8" xfId="0" applyFont="1" applyFill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178" fontId="5" fillId="4" borderId="10" xfId="1" applyNumberFormat="1" applyFont="1" applyFill="1" applyBorder="1">
      <alignment vertical="center"/>
    </xf>
    <xf numFmtId="178" fontId="5" fillId="0" borderId="10" xfId="1" applyNumberFormat="1" applyFont="1" applyBorder="1">
      <alignment vertical="center"/>
    </xf>
    <xf numFmtId="178" fontId="6" fillId="0" borderId="10" xfId="1" applyNumberFormat="1" applyFont="1" applyBorder="1">
      <alignment vertical="center"/>
    </xf>
    <xf numFmtId="178" fontId="5" fillId="4" borderId="11" xfId="1" applyNumberFormat="1" applyFont="1" applyFill="1" applyBorder="1">
      <alignment vertical="center"/>
    </xf>
    <xf numFmtId="0" fontId="6" fillId="0" borderId="7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left" vertical="center"/>
    </xf>
    <xf numFmtId="176" fontId="6" fillId="0" borderId="0" xfId="2" applyNumberFormat="1" applyFont="1" applyBorder="1">
      <alignment vertical="center"/>
    </xf>
    <xf numFmtId="176" fontId="6" fillId="0" borderId="10" xfId="2" applyNumberFormat="1" applyFont="1" applyBorder="1">
      <alignment vertical="center"/>
    </xf>
    <xf numFmtId="0" fontId="6" fillId="0" borderId="7" xfId="0" applyFont="1" applyBorder="1" applyAlignment="1">
      <alignment horizontal="left" vertical="center" indent="1"/>
    </xf>
    <xf numFmtId="178" fontId="6" fillId="0" borderId="0" xfId="1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9" fontId="8" fillId="0" borderId="0" xfId="2" applyNumberFormat="1" applyFont="1" applyBorder="1" applyAlignment="1">
      <alignment horizontal="right" vertical="center"/>
    </xf>
    <xf numFmtId="179" fontId="6" fillId="0" borderId="3" xfId="2" applyNumberFormat="1" applyFont="1" applyFill="1" applyBorder="1" applyAlignment="1">
      <alignment horizontal="right" vertical="center"/>
    </xf>
    <xf numFmtId="179" fontId="8" fillId="4" borderId="0" xfId="2" applyNumberFormat="1" applyFont="1" applyFill="1" applyBorder="1" applyAlignment="1">
      <alignment horizontal="right" vertical="center"/>
    </xf>
    <xf numFmtId="179" fontId="6" fillId="4" borderId="3" xfId="2" applyNumberFormat="1" applyFont="1" applyFill="1" applyBorder="1" applyAlignment="1">
      <alignment horizontal="right" vertical="center"/>
    </xf>
    <xf numFmtId="179" fontId="8" fillId="4" borderId="4" xfId="2" applyNumberFormat="1" applyFont="1" applyFill="1" applyBorder="1" applyAlignment="1">
      <alignment horizontal="right" vertical="center"/>
    </xf>
    <xf numFmtId="179" fontId="6" fillId="4" borderId="5" xfId="2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>
      <alignment vertical="center"/>
    </xf>
    <xf numFmtId="178" fontId="6" fillId="0" borderId="10" xfId="1" applyNumberFormat="1" applyFont="1" applyFill="1" applyBorder="1">
      <alignment vertical="center"/>
    </xf>
    <xf numFmtId="178" fontId="6" fillId="0" borderId="0" xfId="1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/>
    </xf>
    <xf numFmtId="178" fontId="6" fillId="5" borderId="0" xfId="1" applyNumberFormat="1" applyFont="1" applyFill="1" applyBorder="1">
      <alignment vertical="center"/>
    </xf>
    <xf numFmtId="178" fontId="6" fillId="5" borderId="10" xfId="1" applyNumberFormat="1" applyFont="1" applyFill="1" applyBorder="1">
      <alignment vertical="center"/>
    </xf>
    <xf numFmtId="3" fontId="0" fillId="0" borderId="0" xfId="0" applyNumberFormat="1">
      <alignment vertical="center"/>
    </xf>
    <xf numFmtId="3" fontId="9" fillId="0" borderId="0" xfId="0" applyNumberFormat="1" applyFont="1">
      <alignment vertical="center"/>
    </xf>
    <xf numFmtId="179" fontId="8" fillId="4" borderId="3" xfId="2" applyNumberFormat="1" applyFont="1" applyFill="1" applyBorder="1" applyAlignment="1">
      <alignment horizontal="right" vertical="center"/>
    </xf>
    <xf numFmtId="179" fontId="8" fillId="0" borderId="3" xfId="2" applyNumberFormat="1" applyFont="1" applyFill="1" applyBorder="1" applyAlignment="1">
      <alignment horizontal="right" vertical="center"/>
    </xf>
    <xf numFmtId="179" fontId="8" fillId="4" borderId="5" xfId="2" applyNumberFormat="1" applyFont="1" applyFill="1" applyBorder="1" applyAlignment="1">
      <alignment horizontal="right" vertical="center"/>
    </xf>
    <xf numFmtId="178" fontId="5" fillId="4" borderId="12" xfId="1" applyNumberFormat="1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179" fontId="8" fillId="4" borderId="12" xfId="2" applyNumberFormat="1" applyFont="1" applyFill="1" applyBorder="1" applyAlignment="1">
      <alignment horizontal="right" vertical="center"/>
    </xf>
    <xf numFmtId="178" fontId="5" fillId="0" borderId="10" xfId="1" applyNumberFormat="1" applyFont="1" applyFill="1" applyBorder="1">
      <alignment vertical="center"/>
    </xf>
    <xf numFmtId="179" fontId="8" fillId="0" borderId="12" xfId="2" applyNumberFormat="1" applyFont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/>
    </xf>
    <xf numFmtId="179" fontId="8" fillId="4" borderId="14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185" fontId="0" fillId="0" borderId="0" xfId="0" applyNumberFormat="1">
      <alignment vertical="center"/>
    </xf>
    <xf numFmtId="0" fontId="4" fillId="3" borderId="15" xfId="0" applyFont="1" applyFill="1" applyBorder="1" applyAlignment="1">
      <alignment horizontal="center" vertical="center"/>
    </xf>
    <xf numFmtId="178" fontId="5" fillId="4" borderId="16" xfId="1" applyNumberFormat="1" applyFont="1" applyFill="1" applyBorder="1">
      <alignment vertical="center"/>
    </xf>
    <xf numFmtId="178" fontId="5" fillId="0" borderId="16" xfId="1" applyNumberFormat="1" applyFont="1" applyBorder="1">
      <alignment vertical="center"/>
    </xf>
    <xf numFmtId="178" fontId="6" fillId="5" borderId="16" xfId="1" applyNumberFormat="1" applyFont="1" applyFill="1" applyBorder="1">
      <alignment vertical="center"/>
    </xf>
    <xf numFmtId="178" fontId="6" fillId="0" borderId="16" xfId="1" applyNumberFormat="1" applyFont="1" applyBorder="1">
      <alignment vertical="center"/>
    </xf>
    <xf numFmtId="176" fontId="6" fillId="0" borderId="16" xfId="2" applyNumberFormat="1" applyFont="1" applyBorder="1">
      <alignment vertical="center"/>
    </xf>
    <xf numFmtId="178" fontId="5" fillId="4" borderId="17" xfId="1" applyNumberFormat="1" applyFont="1" applyFill="1" applyBorder="1">
      <alignment vertical="center"/>
    </xf>
    <xf numFmtId="178" fontId="6" fillId="0" borderId="10" xfId="1" applyNumberFormat="1" applyFont="1" applyFill="1" applyBorder="1" applyAlignment="1">
      <alignment vertical="center" wrapText="1"/>
    </xf>
    <xf numFmtId="178" fontId="5" fillId="0" borderId="0" xfId="1" applyNumberFormat="1" applyFont="1" applyFill="1" applyBorder="1">
      <alignment vertical="center"/>
    </xf>
    <xf numFmtId="178" fontId="6" fillId="0" borderId="16" xfId="1" applyNumberFormat="1" applyFont="1" applyFill="1" applyBorder="1">
      <alignment vertical="center"/>
    </xf>
    <xf numFmtId="178" fontId="5" fillId="0" borderId="16" xfId="1" applyNumberFormat="1" applyFont="1" applyFill="1" applyBorder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lyse\Downloads\&#50672;&#44208;%20&#51221;&#49328;&#54364;_&#50644;&#48708;&#54000;_23.4Q_v1.xlsx" TargetMode="External"/><Relationship Id="rId1" Type="http://schemas.openxmlformats.org/officeDocument/2006/relationships/externalLinkPath" Target="/Users/klyse/Downloads/&#50672;&#44208;%20&#51221;&#49328;&#54364;_&#50644;&#48708;&#54000;_23.4Q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g"/>
      <sheetName val="내부거래"/>
      <sheetName val="GCOA"/>
      <sheetName val="2022년_손상차손(금여)"/>
      <sheetName val="연결TB"/>
      <sheetName val="연결조정"/>
      <sheetName val="연결BS"/>
      <sheetName val="연결PL"/>
      <sheetName val="연결CE"/>
      <sheetName val="연결CF"/>
      <sheetName val="W.CFS"/>
      <sheetName val="FN"/>
      <sheetName val="FS_엔비티(완)"/>
      <sheetName val="FS_프론토(완)"/>
      <sheetName val="FS_베이징(완)"/>
      <sheetName val="FS_CS팩토리(완)"/>
      <sheetName val="FS_리앤드(완)"/>
      <sheetName val="FS_엔씨티(완)"/>
      <sheetName val="FS_금요일(완)"/>
    </sheetNames>
    <sheetDataSet>
      <sheetData sheetId="0" refreshError="1"/>
      <sheetData sheetId="1"/>
      <sheetData sheetId="2" refreshError="1"/>
      <sheetData sheetId="3" refreshError="1"/>
      <sheetData sheetId="4">
        <row r="176">
          <cell r="Q176">
            <v>359059551</v>
          </cell>
        </row>
      </sheetData>
      <sheetData sheetId="5" refreshError="1"/>
      <sheetData sheetId="6" refreshError="1"/>
      <sheetData sheetId="7">
        <row r="8">
          <cell r="D8">
            <v>702966</v>
          </cell>
        </row>
        <row r="10">
          <cell r="D10">
            <v>-605273450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259E8-C43B-483E-AAAE-480A073E5396}">
  <dimension ref="B1:P37"/>
  <sheetViews>
    <sheetView showGridLines="0" tabSelected="1" zoomScaleNormal="100" workbookViewId="0">
      <selection activeCell="B1" sqref="B1:P1"/>
    </sheetView>
  </sheetViews>
  <sheetFormatPr defaultRowHeight="17.399999999999999" outlineLevelCol="1"/>
  <cols>
    <col min="1" max="1" width="1.69921875" customWidth="1"/>
    <col min="2" max="2" width="25.5" bestFit="1" customWidth="1"/>
    <col min="3" max="6" width="10.69921875" hidden="1" customWidth="1" outlineLevel="1"/>
    <col min="7" max="7" width="10.69921875" customWidth="1" collapsed="1"/>
    <col min="8" max="11" width="10.69921875" customWidth="1"/>
    <col min="12" max="14" width="10.69921875" hidden="1" customWidth="1"/>
    <col min="15" max="16" width="10.69921875" customWidth="1"/>
    <col min="18" max="18" width="14.8984375" bestFit="1" customWidth="1"/>
  </cols>
  <sheetData>
    <row r="1" spans="2:16" ht="46.95" customHeight="1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2:16">
      <c r="J2" s="3"/>
      <c r="K2" s="3"/>
      <c r="L2" s="3"/>
      <c r="M2" s="3"/>
      <c r="N2" s="3"/>
      <c r="O2" s="3"/>
    </row>
    <row r="3" spans="2:16">
      <c r="B3" s="10" t="s">
        <v>1</v>
      </c>
      <c r="C3" s="5" t="s">
        <v>2</v>
      </c>
      <c r="D3" s="5" t="s">
        <v>3</v>
      </c>
      <c r="E3" s="5" t="s">
        <v>4</v>
      </c>
      <c r="F3" s="15" t="s">
        <v>5</v>
      </c>
      <c r="G3" s="5" t="s">
        <v>6</v>
      </c>
      <c r="H3" s="5" t="s">
        <v>7</v>
      </c>
      <c r="I3" s="5" t="s">
        <v>8</v>
      </c>
      <c r="J3" s="15" t="s">
        <v>9</v>
      </c>
      <c r="K3" s="54" t="s">
        <v>73</v>
      </c>
      <c r="L3" s="5"/>
      <c r="M3" s="5"/>
      <c r="N3" s="5"/>
      <c r="O3" s="26" t="s">
        <v>40</v>
      </c>
      <c r="P3" s="27" t="s">
        <v>41</v>
      </c>
    </row>
    <row r="4" spans="2:16">
      <c r="B4" s="11" t="s">
        <v>10</v>
      </c>
      <c r="C4" s="6">
        <f t="shared" ref="C4:J4" si="0">SUM(C5,C8,C11)</f>
        <v>23115163994.000004</v>
      </c>
      <c r="D4" s="6">
        <f t="shared" si="0"/>
        <v>26721932222.311878</v>
      </c>
      <c r="E4" s="6">
        <f t="shared" si="0"/>
        <v>27305094693.999996</v>
      </c>
      <c r="F4" s="16">
        <f t="shared" si="0"/>
        <v>31068682822.688118</v>
      </c>
      <c r="G4" s="6">
        <f t="shared" si="0"/>
        <v>24038518668</v>
      </c>
      <c r="H4" s="6">
        <f t="shared" si="0"/>
        <v>26444890058</v>
      </c>
      <c r="I4" s="6">
        <f t="shared" si="0"/>
        <v>27580835194</v>
      </c>
      <c r="J4" s="16">
        <f t="shared" si="0"/>
        <v>28593734676</v>
      </c>
      <c r="K4" s="55">
        <v>23210807521</v>
      </c>
      <c r="L4" s="6"/>
      <c r="M4" s="6"/>
      <c r="N4" s="6"/>
      <c r="O4" s="30">
        <f>+IFERROR((K4/G4-1),"n/a")</f>
        <v>-3.4432701882826322E-2</v>
      </c>
      <c r="P4" s="31">
        <f>+IFERROR((K4/J4-1),"n/a")</f>
        <v>-0.18825547680269028</v>
      </c>
    </row>
    <row r="5" spans="2:16">
      <c r="B5" s="12" t="s">
        <v>11</v>
      </c>
      <c r="C5" s="7">
        <f>SUM(C6:C7)</f>
        <v>21432308696.000004</v>
      </c>
      <c r="D5" s="7">
        <f t="shared" ref="D5:J5" si="1">SUM(D6:D7)</f>
        <v>23563431609.311878</v>
      </c>
      <c r="E5" s="7">
        <f t="shared" si="1"/>
        <v>24600733744.999996</v>
      </c>
      <c r="F5" s="17">
        <f t="shared" si="1"/>
        <v>29546964949.688118</v>
      </c>
      <c r="G5" s="7">
        <f t="shared" si="1"/>
        <v>22760239000</v>
      </c>
      <c r="H5" s="7">
        <f t="shared" si="1"/>
        <v>24193540000</v>
      </c>
      <c r="I5" s="7">
        <f t="shared" si="1"/>
        <v>25662736513</v>
      </c>
      <c r="J5" s="17">
        <f t="shared" si="1"/>
        <v>27066894405</v>
      </c>
      <c r="K5" s="56">
        <f>K6+K7</f>
        <v>21916626670</v>
      </c>
      <c r="L5" s="7"/>
      <c r="M5" s="7"/>
      <c r="N5" s="7"/>
      <c r="O5" s="28">
        <f t="shared" ref="O5:O35" si="2">+IFERROR((K5/G5-1),"n/a")</f>
        <v>-3.7065178884984507E-2</v>
      </c>
      <c r="P5" s="29">
        <f t="shared" ref="P5:P35" si="3">+IFERROR((K5/J5-1),"n/a")</f>
        <v>-0.19027922664258834</v>
      </c>
    </row>
    <row r="6" spans="2:16">
      <c r="B6" s="20" t="s">
        <v>12</v>
      </c>
      <c r="C6" s="8">
        <v>3938654753.0000024</v>
      </c>
      <c r="D6" s="8">
        <v>3843069444.2118759</v>
      </c>
      <c r="E6" s="8">
        <v>3047589089.9999924</v>
      </c>
      <c r="F6" s="18">
        <v>3569341712.7881298</v>
      </c>
      <c r="G6" s="8">
        <v>2132582000</v>
      </c>
      <c r="H6" s="8">
        <v>2159520000</v>
      </c>
      <c r="I6" s="8">
        <v>2033334000</v>
      </c>
      <c r="J6" s="35">
        <v>2103721918</v>
      </c>
      <c r="K6" s="63">
        <f>별도IS!K6</f>
        <v>1906143611</v>
      </c>
      <c r="L6" s="34"/>
      <c r="M6" s="34"/>
      <c r="N6" s="34"/>
      <c r="O6" s="28">
        <f t="shared" si="2"/>
        <v>-0.10618039024994119</v>
      </c>
      <c r="P6" s="29">
        <f t="shared" si="3"/>
        <v>-9.3918452486266291E-2</v>
      </c>
    </row>
    <row r="7" spans="2:16">
      <c r="B7" s="20" t="s">
        <v>13</v>
      </c>
      <c r="C7" s="8">
        <v>17493653943</v>
      </c>
      <c r="D7" s="8">
        <v>19720362165.100002</v>
      </c>
      <c r="E7" s="8">
        <v>21553144655.000004</v>
      </c>
      <c r="F7" s="18">
        <v>25977623236.89999</v>
      </c>
      <c r="G7" s="8">
        <v>20627657000</v>
      </c>
      <c r="H7" s="8">
        <v>22034020000</v>
      </c>
      <c r="I7" s="8">
        <v>23629402513</v>
      </c>
      <c r="J7" s="35">
        <v>24963172487</v>
      </c>
      <c r="K7" s="63">
        <f>별도IS!K7</f>
        <v>20010483059</v>
      </c>
      <c r="L7" s="34"/>
      <c r="M7" s="34"/>
      <c r="N7" s="34"/>
      <c r="O7" s="28">
        <f t="shared" si="2"/>
        <v>-2.9919730631549624E-2</v>
      </c>
      <c r="P7" s="29">
        <f t="shared" si="3"/>
        <v>-0.19839984002751243</v>
      </c>
    </row>
    <row r="8" spans="2:16">
      <c r="B8" s="12" t="s">
        <v>14</v>
      </c>
      <c r="C8" s="7">
        <f>SUM(C9:C10)</f>
        <v>920512298</v>
      </c>
      <c r="D8" s="7">
        <f t="shared" ref="D8:J8" si="4">SUM(D9:D10)</f>
        <v>906243102</v>
      </c>
      <c r="E8" s="7">
        <f t="shared" si="4"/>
        <v>885031819</v>
      </c>
      <c r="F8" s="17">
        <f t="shared" si="4"/>
        <v>585260708</v>
      </c>
      <c r="G8" s="7">
        <f t="shared" si="4"/>
        <v>770538545</v>
      </c>
      <c r="H8" s="7">
        <f t="shared" si="4"/>
        <v>871898204</v>
      </c>
      <c r="I8" s="7">
        <f t="shared" si="4"/>
        <v>949403625</v>
      </c>
      <c r="J8" s="48">
        <f t="shared" si="4"/>
        <v>594832571</v>
      </c>
      <c r="K8" s="64">
        <f>K9+K10</f>
        <v>513606955</v>
      </c>
      <c r="L8" s="62"/>
      <c r="M8" s="62"/>
      <c r="N8" s="62"/>
      <c r="O8" s="28">
        <f t="shared" si="2"/>
        <v>-0.33344417572257856</v>
      </c>
      <c r="P8" s="29">
        <f t="shared" si="3"/>
        <v>-0.13655206516927598</v>
      </c>
    </row>
    <row r="9" spans="2:16">
      <c r="B9" s="20" t="s">
        <v>12</v>
      </c>
      <c r="C9" s="8">
        <f>920512298-C10</f>
        <v>349813298</v>
      </c>
      <c r="D9" s="8">
        <f>906243102-D10</f>
        <v>383012102</v>
      </c>
      <c r="E9" s="8">
        <f>885031819-E10</f>
        <v>370014819</v>
      </c>
      <c r="F9" s="18">
        <f>585260708-F10</f>
        <v>75165708</v>
      </c>
      <c r="G9" s="8">
        <v>207687346</v>
      </c>
      <c r="H9" s="8">
        <v>320710100</v>
      </c>
      <c r="I9" s="8">
        <f>397031428</f>
        <v>397031428</v>
      </c>
      <c r="J9" s="35">
        <v>139370557</v>
      </c>
      <c r="K9" s="63">
        <f>별도IS!K9</f>
        <v>102819255</v>
      </c>
      <c r="L9" s="34"/>
      <c r="M9" s="34"/>
      <c r="N9" s="34"/>
      <c r="O9" s="28">
        <f t="shared" si="2"/>
        <v>-0.50493250079858021</v>
      </c>
      <c r="P9" s="29">
        <f t="shared" si="3"/>
        <v>-0.26225985449710154</v>
      </c>
    </row>
    <row r="10" spans="2:16">
      <c r="B10" s="20" t="s">
        <v>13</v>
      </c>
      <c r="C10" s="8">
        <v>570699000</v>
      </c>
      <c r="D10" s="8">
        <f>1093930000-C10</f>
        <v>523231000</v>
      </c>
      <c r="E10" s="8">
        <f>1608947000-D10-C10</f>
        <v>515017000</v>
      </c>
      <c r="F10" s="18">
        <f>2119042000-E10-D10-C10</f>
        <v>510095000</v>
      </c>
      <c r="G10" s="8">
        <v>562851199</v>
      </c>
      <c r="H10" s="8">
        <v>551188104</v>
      </c>
      <c r="I10" s="8">
        <v>552372197</v>
      </c>
      <c r="J10" s="35">
        <v>455462014</v>
      </c>
      <c r="K10" s="63">
        <f>별도IS!K10</f>
        <v>410787700</v>
      </c>
      <c r="L10" s="34"/>
      <c r="M10" s="34"/>
      <c r="N10" s="34"/>
      <c r="O10" s="28">
        <f t="shared" si="2"/>
        <v>-0.27016642990219519</v>
      </c>
      <c r="P10" s="29">
        <f t="shared" si="3"/>
        <v>-9.8085707757837315E-2</v>
      </c>
    </row>
    <row r="11" spans="2:16">
      <c r="B11" s="12" t="s">
        <v>39</v>
      </c>
      <c r="C11" s="7">
        <v>762343000</v>
      </c>
      <c r="D11" s="7">
        <v>2252257511</v>
      </c>
      <c r="E11" s="7">
        <v>1819329130</v>
      </c>
      <c r="F11" s="17">
        <v>936457165</v>
      </c>
      <c r="G11" s="7">
        <v>507741123</v>
      </c>
      <c r="H11" s="7">
        <v>1379451854</v>
      </c>
      <c r="I11" s="7">
        <v>968695056</v>
      </c>
      <c r="J11" s="48">
        <v>932007700</v>
      </c>
      <c r="K11" s="64">
        <v>780573896</v>
      </c>
      <c r="L11" s="62"/>
      <c r="M11" s="62"/>
      <c r="N11" s="62"/>
      <c r="O11" s="28">
        <f t="shared" si="2"/>
        <v>0.537346219640358</v>
      </c>
      <c r="P11" s="29">
        <f t="shared" si="3"/>
        <v>-0.16248127992933969</v>
      </c>
    </row>
    <row r="12" spans="2:16">
      <c r="B12" s="11" t="s">
        <v>16</v>
      </c>
      <c r="C12" s="6">
        <f t="shared" ref="C12:J12" si="5">C13+C17+C18+C19+C20+C21+C22</f>
        <v>22440086236</v>
      </c>
      <c r="D12" s="6">
        <f t="shared" si="5"/>
        <v>26234833408</v>
      </c>
      <c r="E12" s="6">
        <f t="shared" si="5"/>
        <v>26648261427</v>
      </c>
      <c r="F12" s="16">
        <f t="shared" si="5"/>
        <v>30608382301</v>
      </c>
      <c r="G12" s="6">
        <f t="shared" si="5"/>
        <v>24698815437</v>
      </c>
      <c r="H12" s="6">
        <f t="shared" si="5"/>
        <v>26680455901</v>
      </c>
      <c r="I12" s="6">
        <f t="shared" si="5"/>
        <v>28104353181</v>
      </c>
      <c r="J12" s="16">
        <f t="shared" si="5"/>
        <v>29940713875</v>
      </c>
      <c r="K12" s="55">
        <v>24824153623</v>
      </c>
      <c r="L12" s="6"/>
      <c r="M12" s="6"/>
      <c r="N12" s="6"/>
      <c r="O12" s="30">
        <f t="shared" si="2"/>
        <v>5.0746638566414592E-3</v>
      </c>
      <c r="P12" s="31">
        <f t="shared" si="3"/>
        <v>-0.17088972137943048</v>
      </c>
    </row>
    <row r="13" spans="2:16">
      <c r="B13" s="12" t="s">
        <v>11</v>
      </c>
      <c r="C13" s="7">
        <f>SUM(C14:C16)</f>
        <v>17981577956</v>
      </c>
      <c r="D13" s="7">
        <f t="shared" ref="D13:J13" si="6">SUM(D14:D16)</f>
        <v>19890007448</v>
      </c>
      <c r="E13" s="7">
        <f t="shared" si="6"/>
        <v>21332485808</v>
      </c>
      <c r="F13" s="17">
        <f t="shared" si="6"/>
        <v>25360332744</v>
      </c>
      <c r="G13" s="7">
        <f t="shared" si="6"/>
        <v>20618812277</v>
      </c>
      <c r="H13" s="7">
        <f t="shared" si="6"/>
        <v>21680646723</v>
      </c>
      <c r="I13" s="7">
        <f t="shared" si="6"/>
        <v>22886374000</v>
      </c>
      <c r="J13" s="17">
        <f t="shared" si="6"/>
        <v>23995681700</v>
      </c>
      <c r="K13" s="56">
        <f>SUM(K14:K16)</f>
        <v>19821703286</v>
      </c>
      <c r="L13" s="7"/>
      <c r="M13" s="7"/>
      <c r="N13" s="7"/>
      <c r="O13" s="28">
        <f t="shared" si="2"/>
        <v>-3.8659306864593956E-2</v>
      </c>
      <c r="P13" s="29">
        <f t="shared" si="3"/>
        <v>-0.17394706540052163</v>
      </c>
    </row>
    <row r="14" spans="2:16">
      <c r="B14" s="20" t="s">
        <v>17</v>
      </c>
      <c r="C14" s="8">
        <v>2604913509</v>
      </c>
      <c r="D14" s="8">
        <v>2914097918</v>
      </c>
      <c r="E14" s="8">
        <v>2848186635</v>
      </c>
      <c r="F14" s="18">
        <v>3382230285</v>
      </c>
      <c r="G14" s="8">
        <v>2539106545</v>
      </c>
      <c r="H14" s="8">
        <v>2526677455</v>
      </c>
      <c r="I14" s="8">
        <v>2738812000</v>
      </c>
      <c r="J14" s="18">
        <v>2794224568</v>
      </c>
      <c r="K14" s="58">
        <v>2123299647</v>
      </c>
      <c r="L14" s="8"/>
      <c r="M14" s="8"/>
      <c r="N14" s="8"/>
      <c r="O14" s="28">
        <f t="shared" si="2"/>
        <v>-0.1637611067636392</v>
      </c>
      <c r="P14" s="29">
        <f t="shared" si="3"/>
        <v>-0.24011130983656859</v>
      </c>
    </row>
    <row r="15" spans="2:16">
      <c r="B15" s="20" t="s">
        <v>18</v>
      </c>
      <c r="C15" s="8">
        <v>1085328634</v>
      </c>
      <c r="D15" s="8">
        <v>1036065492</v>
      </c>
      <c r="E15" s="8">
        <v>1106492961</v>
      </c>
      <c r="F15" s="18">
        <v>1090039116</v>
      </c>
      <c r="G15" s="8">
        <v>1052341201</v>
      </c>
      <c r="H15" s="8">
        <v>914878799</v>
      </c>
      <c r="I15" s="8">
        <v>799798000</v>
      </c>
      <c r="J15" s="18">
        <v>843829176</v>
      </c>
      <c r="K15" s="58">
        <f>별도IS!K15</f>
        <v>835125091</v>
      </c>
      <c r="L15" s="8"/>
      <c r="M15" s="8"/>
      <c r="N15" s="8"/>
      <c r="O15" s="28">
        <f t="shared" si="2"/>
        <v>-0.20641224518586532</v>
      </c>
      <c r="P15" s="29">
        <f t="shared" si="3"/>
        <v>-1.0314984652770476E-2</v>
      </c>
    </row>
    <row r="16" spans="2:16">
      <c r="B16" s="20" t="s">
        <v>19</v>
      </c>
      <c r="C16" s="8">
        <v>14291335813</v>
      </c>
      <c r="D16" s="8">
        <v>15939844038</v>
      </c>
      <c r="E16" s="8">
        <v>17377806212</v>
      </c>
      <c r="F16" s="18">
        <v>20888063343</v>
      </c>
      <c r="G16" s="8">
        <v>17027364531</v>
      </c>
      <c r="H16" s="8">
        <v>18239090469</v>
      </c>
      <c r="I16" s="8">
        <v>19347764000</v>
      </c>
      <c r="J16" s="18">
        <v>20357627956</v>
      </c>
      <c r="K16" s="58">
        <v>16863278548</v>
      </c>
      <c r="L16" s="8"/>
      <c r="M16" s="8"/>
      <c r="N16" s="8"/>
      <c r="O16" s="28">
        <f t="shared" si="2"/>
        <v>-9.6366048134616245E-3</v>
      </c>
      <c r="P16" s="29">
        <f t="shared" si="3"/>
        <v>-0.17164816134534533</v>
      </c>
    </row>
    <row r="17" spans="2:16">
      <c r="B17" s="12" t="s">
        <v>37</v>
      </c>
      <c r="C17" s="7">
        <v>127328052</v>
      </c>
      <c r="D17" s="7">
        <v>101331650</v>
      </c>
      <c r="E17" s="7">
        <v>180159669</v>
      </c>
      <c r="F17" s="17">
        <v>102350205</v>
      </c>
      <c r="G17" s="7">
        <v>18729178</v>
      </c>
      <c r="H17" s="7">
        <v>151698822</v>
      </c>
      <c r="I17" s="7">
        <v>202839000</v>
      </c>
      <c r="J17" s="17">
        <v>50496600</v>
      </c>
      <c r="K17" s="56">
        <f>별도IS!K17</f>
        <v>1789950</v>
      </c>
      <c r="L17" s="7"/>
      <c r="M17" s="7"/>
      <c r="N17" s="7"/>
      <c r="O17" s="28">
        <f t="shared" si="2"/>
        <v>-0.90442986873209275</v>
      </c>
      <c r="P17" s="29">
        <f t="shared" si="3"/>
        <v>-0.96455305901783484</v>
      </c>
    </row>
    <row r="18" spans="2:16">
      <c r="B18" s="12" t="s">
        <v>38</v>
      </c>
      <c r="C18" s="7">
        <v>352761994</v>
      </c>
      <c r="D18" s="7">
        <v>1726931496</v>
      </c>
      <c r="E18" s="7">
        <v>645579724</v>
      </c>
      <c r="F18" s="17">
        <v>1072018958</v>
      </c>
      <c r="G18" s="7">
        <v>206235684</v>
      </c>
      <c r="H18" s="7">
        <v>718566753</v>
      </c>
      <c r="I18" s="7">
        <v>302306121</v>
      </c>
      <c r="J18" s="17">
        <v>929552326</v>
      </c>
      <c r="K18" s="56">
        <v>342498253</v>
      </c>
      <c r="L18" s="7"/>
      <c r="M18" s="7"/>
      <c r="N18" s="7"/>
      <c r="O18" s="28">
        <f t="shared" si="2"/>
        <v>0.66071286189251333</v>
      </c>
      <c r="P18" s="29">
        <f t="shared" si="3"/>
        <v>-0.63154494543215201</v>
      </c>
    </row>
    <row r="19" spans="2:16">
      <c r="B19" s="12" t="s">
        <v>20</v>
      </c>
      <c r="C19" s="7">
        <v>2252878816</v>
      </c>
      <c r="D19" s="7">
        <v>2276856379</v>
      </c>
      <c r="E19" s="7">
        <v>2395575670</v>
      </c>
      <c r="F19" s="17">
        <v>1947589777</v>
      </c>
      <c r="G19" s="7">
        <v>1942110770</v>
      </c>
      <c r="H19" s="7">
        <v>2122917285</v>
      </c>
      <c r="I19" s="7">
        <v>2257502255</v>
      </c>
      <c r="J19" s="17">
        <v>2988908910</v>
      </c>
      <c r="K19" s="56">
        <v>2566175153</v>
      </c>
      <c r="L19" s="7"/>
      <c r="M19" s="7"/>
      <c r="N19" s="7"/>
      <c r="O19" s="28">
        <f t="shared" si="2"/>
        <v>0.32133305300603432</v>
      </c>
      <c r="P19" s="29">
        <f t="shared" si="3"/>
        <v>-0.14143413858671261</v>
      </c>
    </row>
    <row r="20" spans="2:16">
      <c r="B20" s="12" t="s">
        <v>21</v>
      </c>
      <c r="C20" s="7">
        <v>393669953</v>
      </c>
      <c r="D20" s="7">
        <v>417369132</v>
      </c>
      <c r="E20" s="7">
        <v>540025965</v>
      </c>
      <c r="F20" s="17">
        <v>448355317</v>
      </c>
      <c r="G20" s="7">
        <v>403717452</v>
      </c>
      <c r="H20" s="7">
        <v>479648986</v>
      </c>
      <c r="I20" s="7">
        <v>468553117</v>
      </c>
      <c r="J20" s="17">
        <v>403865609</v>
      </c>
      <c r="K20" s="56">
        <v>381869675</v>
      </c>
      <c r="L20" s="7"/>
      <c r="M20" s="7"/>
      <c r="N20" s="7"/>
      <c r="O20" s="28">
        <f t="shared" si="2"/>
        <v>-5.4116503737371202E-2</v>
      </c>
      <c r="P20" s="29">
        <f t="shared" si="3"/>
        <v>-5.4463498524827347E-2</v>
      </c>
    </row>
    <row r="21" spans="2:16">
      <c r="B21" s="12" t="s">
        <v>22</v>
      </c>
      <c r="C21" s="7">
        <v>516516034</v>
      </c>
      <c r="D21" s="7">
        <v>670293605</v>
      </c>
      <c r="E21" s="7">
        <v>258276077</v>
      </c>
      <c r="F21" s="17">
        <v>657463303</v>
      </c>
      <c r="G21" s="7">
        <v>423834865</v>
      </c>
      <c r="H21" s="7">
        <v>403091497</v>
      </c>
      <c r="I21" s="7">
        <v>584308725</v>
      </c>
      <c r="J21" s="17">
        <v>453717682</v>
      </c>
      <c r="K21" s="56">
        <v>629065449</v>
      </c>
      <c r="L21" s="7"/>
      <c r="M21" s="7"/>
      <c r="N21" s="7"/>
      <c r="O21" s="28">
        <f t="shared" si="2"/>
        <v>0.48422298623309334</v>
      </c>
      <c r="P21" s="29">
        <f t="shared" si="3"/>
        <v>0.38646888573322125</v>
      </c>
    </row>
    <row r="22" spans="2:16">
      <c r="B22" s="12" t="s">
        <v>15</v>
      </c>
      <c r="C22" s="7">
        <v>815353431</v>
      </c>
      <c r="D22" s="7">
        <v>1152043698</v>
      </c>
      <c r="E22" s="7">
        <v>1296158514</v>
      </c>
      <c r="F22" s="17">
        <v>1020271997</v>
      </c>
      <c r="G22" s="7">
        <v>1085375211</v>
      </c>
      <c r="H22" s="7">
        <v>1123885835</v>
      </c>
      <c r="I22" s="7">
        <v>1402469963</v>
      </c>
      <c r="J22" s="17">
        <v>1118491048</v>
      </c>
      <c r="K22" s="56">
        <v>1081051857</v>
      </c>
      <c r="L22" s="7"/>
      <c r="M22" s="7"/>
      <c r="N22" s="7"/>
      <c r="O22" s="28">
        <f t="shared" si="2"/>
        <v>-3.9832805800095183E-3</v>
      </c>
      <c r="P22" s="29">
        <f t="shared" si="3"/>
        <v>-3.347294649067234E-2</v>
      </c>
    </row>
    <row r="23" spans="2:16">
      <c r="B23" s="11" t="s">
        <v>23</v>
      </c>
      <c r="C23" s="6">
        <f t="shared" ref="C23:K23" si="7">C4-C12</f>
        <v>675077758.00000381</v>
      </c>
      <c r="D23" s="6">
        <f t="shared" si="7"/>
        <v>487098814.3118782</v>
      </c>
      <c r="E23" s="6">
        <f t="shared" si="7"/>
        <v>656833266.99999619</v>
      </c>
      <c r="F23" s="16">
        <f t="shared" si="7"/>
        <v>460300521.68811798</v>
      </c>
      <c r="G23" s="6">
        <f t="shared" si="7"/>
        <v>-660296769</v>
      </c>
      <c r="H23" s="6">
        <f t="shared" si="7"/>
        <v>-235565843</v>
      </c>
      <c r="I23" s="6">
        <f t="shared" si="7"/>
        <v>-523517987</v>
      </c>
      <c r="J23" s="16">
        <f t="shared" si="7"/>
        <v>-1346979199</v>
      </c>
      <c r="K23" s="55">
        <f t="shared" si="7"/>
        <v>-1613346102</v>
      </c>
      <c r="L23" s="6"/>
      <c r="M23" s="6"/>
      <c r="N23" s="6"/>
      <c r="O23" s="30">
        <f t="shared" si="2"/>
        <v>1.4433651317775871</v>
      </c>
      <c r="P23" s="31">
        <f t="shared" si="3"/>
        <v>0.19775131137715518</v>
      </c>
    </row>
    <row r="24" spans="2:16">
      <c r="B24" s="21" t="s">
        <v>24</v>
      </c>
      <c r="C24" s="22">
        <f t="shared" ref="C24:K24" si="8">C23/C4</f>
        <v>2.9204973764202301E-2</v>
      </c>
      <c r="D24" s="22">
        <f t="shared" si="8"/>
        <v>1.8228427879371976E-2</v>
      </c>
      <c r="E24" s="22">
        <f t="shared" si="8"/>
        <v>2.405533745115809E-2</v>
      </c>
      <c r="F24" s="23">
        <f t="shared" si="8"/>
        <v>1.4815578900306015E-2</v>
      </c>
      <c r="G24" s="22">
        <f t="shared" si="8"/>
        <v>-2.7468280309592662E-2</v>
      </c>
      <c r="H24" s="22">
        <f t="shared" si="8"/>
        <v>-8.9078019414468163E-3</v>
      </c>
      <c r="I24" s="22">
        <f t="shared" si="8"/>
        <v>-1.8981223132571681E-2</v>
      </c>
      <c r="J24" s="23">
        <f t="shared" si="8"/>
        <v>-4.7107494500555042E-2</v>
      </c>
      <c r="K24" s="59">
        <f t="shared" si="8"/>
        <v>-6.9508400366524239E-2</v>
      </c>
      <c r="L24" s="22"/>
      <c r="M24" s="22"/>
      <c r="N24" s="22"/>
      <c r="O24" s="28">
        <f t="shared" si="2"/>
        <v>1.530496979901943</v>
      </c>
      <c r="P24" s="29">
        <f t="shared" si="3"/>
        <v>0.47552743153650967</v>
      </c>
    </row>
    <row r="25" spans="2:16">
      <c r="B25" s="13" t="s">
        <v>25</v>
      </c>
      <c r="C25" s="7">
        <f t="shared" ref="C25:J25" si="9">SUM(C26:C27)</f>
        <v>326115028</v>
      </c>
      <c r="D25" s="7">
        <f t="shared" si="9"/>
        <v>1712546515</v>
      </c>
      <c r="E25" s="7">
        <f t="shared" si="9"/>
        <v>2428353078</v>
      </c>
      <c r="F25" s="17">
        <f t="shared" si="9"/>
        <v>-2821312784</v>
      </c>
      <c r="G25" s="7">
        <f t="shared" si="9"/>
        <v>807198153</v>
      </c>
      <c r="H25" s="7">
        <f t="shared" si="9"/>
        <v>552805593</v>
      </c>
      <c r="I25" s="7">
        <f t="shared" si="9"/>
        <v>849129574</v>
      </c>
      <c r="J25" s="17">
        <f t="shared" si="9"/>
        <v>-604570484</v>
      </c>
      <c r="K25" s="56">
        <f>K26+K27</f>
        <v>1181211722</v>
      </c>
      <c r="L25" s="7"/>
      <c r="M25" s="7"/>
      <c r="N25" s="7"/>
      <c r="O25" s="28">
        <f t="shared" si="2"/>
        <v>0.463347899905316</v>
      </c>
      <c r="P25" s="29">
        <f t="shared" si="3"/>
        <v>-2.9538031598644832</v>
      </c>
    </row>
    <row r="26" spans="2:16">
      <c r="B26" s="24" t="s">
        <v>26</v>
      </c>
      <c r="C26" s="8">
        <v>11205855</v>
      </c>
      <c r="D26" s="8">
        <v>14279969</v>
      </c>
      <c r="E26" s="8">
        <v>124654654</v>
      </c>
      <c r="F26" s="18">
        <v>-102109756</v>
      </c>
      <c r="G26" s="8">
        <v>8586157</v>
      </c>
      <c r="H26" s="8">
        <v>34385401</v>
      </c>
      <c r="I26" s="8">
        <v>462251</v>
      </c>
      <c r="J26" s="18">
        <f>[1]연결PL!$D$8</f>
        <v>702966</v>
      </c>
      <c r="K26" s="58">
        <v>177289</v>
      </c>
      <c r="L26" s="8"/>
      <c r="M26" s="8"/>
      <c r="N26" s="8"/>
      <c r="O26" s="28">
        <f t="shared" si="2"/>
        <v>-0.97935176354217612</v>
      </c>
      <c r="P26" s="29">
        <f t="shared" si="3"/>
        <v>-0.74779861330419961</v>
      </c>
    </row>
    <row r="27" spans="2:16">
      <c r="B27" s="24" t="s">
        <v>27</v>
      </c>
      <c r="C27" s="8">
        <v>314909173</v>
      </c>
      <c r="D27" s="8">
        <v>1698266546</v>
      </c>
      <c r="E27" s="8">
        <v>2303698424</v>
      </c>
      <c r="F27" s="18">
        <v>-2719203028</v>
      </c>
      <c r="G27" s="25">
        <v>798611996</v>
      </c>
      <c r="H27" s="8">
        <v>518420192</v>
      </c>
      <c r="I27" s="8">
        <v>848667323</v>
      </c>
      <c r="J27" s="18">
        <f>[1]연결PL!$D$10</f>
        <v>-605273450</v>
      </c>
      <c r="K27" s="58">
        <v>1181034433</v>
      </c>
      <c r="L27" s="8"/>
      <c r="M27" s="8"/>
      <c r="N27" s="8"/>
      <c r="O27" s="28">
        <f t="shared" si="2"/>
        <v>0.47885886878163042</v>
      </c>
      <c r="P27" s="29">
        <f t="shared" si="3"/>
        <v>-2.9512411010263211</v>
      </c>
    </row>
    <row r="28" spans="2:16">
      <c r="B28" s="13" t="s">
        <v>29</v>
      </c>
      <c r="C28" s="7">
        <f t="shared" ref="C28:J28" si="10">SUM(C29:C30)</f>
        <v>569748879</v>
      </c>
      <c r="D28" s="7">
        <f t="shared" si="10"/>
        <v>1776812560</v>
      </c>
      <c r="E28" s="7">
        <f t="shared" si="10"/>
        <v>2908257636</v>
      </c>
      <c r="F28" s="17">
        <f t="shared" si="10"/>
        <v>-566094648</v>
      </c>
      <c r="G28" s="7">
        <f t="shared" si="10"/>
        <v>983548822</v>
      </c>
      <c r="H28" s="7">
        <f t="shared" si="10"/>
        <v>789223554</v>
      </c>
      <c r="I28" s="7">
        <f t="shared" si="10"/>
        <v>925242076</v>
      </c>
      <c r="J28" s="17">
        <f t="shared" si="10"/>
        <v>653385986</v>
      </c>
      <c r="K28" s="56">
        <f>K29+K30</f>
        <v>1279129106</v>
      </c>
      <c r="L28" s="7"/>
      <c r="M28" s="7"/>
      <c r="N28" s="7"/>
      <c r="O28" s="28">
        <f t="shared" si="2"/>
        <v>0.30052426212961292</v>
      </c>
      <c r="P28" s="29">
        <f t="shared" si="3"/>
        <v>0.95769290038002142</v>
      </c>
    </row>
    <row r="29" spans="2:16">
      <c r="B29" s="24" t="s">
        <v>30</v>
      </c>
      <c r="C29" s="8">
        <v>81408531</v>
      </c>
      <c r="D29" s="8">
        <v>6146699</v>
      </c>
      <c r="E29" s="8">
        <v>269828636</v>
      </c>
      <c r="F29" s="18">
        <v>1762063954</v>
      </c>
      <c r="G29" s="8">
        <v>515959</v>
      </c>
      <c r="H29" s="8">
        <v>1004460</v>
      </c>
      <c r="I29" s="8">
        <v>26532346</v>
      </c>
      <c r="J29" s="18">
        <v>31206347</v>
      </c>
      <c r="K29" s="58">
        <v>213306</v>
      </c>
      <c r="L29" s="8"/>
      <c r="M29" s="8"/>
      <c r="N29" s="8"/>
      <c r="O29" s="28">
        <f t="shared" si="2"/>
        <v>-0.58658343007874658</v>
      </c>
      <c r="P29" s="29">
        <f t="shared" si="3"/>
        <v>-0.99316465974053292</v>
      </c>
    </row>
    <row r="30" spans="2:16">
      <c r="B30" s="24" t="s">
        <v>31</v>
      </c>
      <c r="C30" s="8">
        <v>488340348</v>
      </c>
      <c r="D30" s="8">
        <v>1770665861</v>
      </c>
      <c r="E30" s="8">
        <v>2638429000</v>
      </c>
      <c r="F30" s="18">
        <v>-2328158602</v>
      </c>
      <c r="G30" s="8">
        <v>983032863</v>
      </c>
      <c r="H30" s="8">
        <v>788219094</v>
      </c>
      <c r="I30" s="8">
        <v>898709730</v>
      </c>
      <c r="J30" s="18">
        <v>622179639</v>
      </c>
      <c r="K30" s="58">
        <v>1278915800</v>
      </c>
      <c r="L30" s="8"/>
      <c r="M30" s="8"/>
      <c r="N30" s="8"/>
      <c r="O30" s="28">
        <f t="shared" si="2"/>
        <v>0.30098987341789396</v>
      </c>
      <c r="P30" s="29">
        <f t="shared" si="3"/>
        <v>1.0555410685819631</v>
      </c>
    </row>
    <row r="31" spans="2:16">
      <c r="B31" s="11" t="s">
        <v>32</v>
      </c>
      <c r="C31" s="6">
        <f t="shared" ref="C31:K31" si="11">C23+C25-C28</f>
        <v>431443907.00000381</v>
      </c>
      <c r="D31" s="6">
        <f t="shared" si="11"/>
        <v>422832769.3118782</v>
      </c>
      <c r="E31" s="6">
        <f t="shared" si="11"/>
        <v>176928708.99999619</v>
      </c>
      <c r="F31" s="16">
        <f t="shared" si="11"/>
        <v>-1794917614.311882</v>
      </c>
      <c r="G31" s="6">
        <f t="shared" si="11"/>
        <v>-836647438</v>
      </c>
      <c r="H31" s="6">
        <f t="shared" si="11"/>
        <v>-471983804</v>
      </c>
      <c r="I31" s="6">
        <f t="shared" si="11"/>
        <v>-599630489</v>
      </c>
      <c r="J31" s="16">
        <f t="shared" si="11"/>
        <v>-2604935669</v>
      </c>
      <c r="K31" s="55">
        <f t="shared" si="11"/>
        <v>-1711263486</v>
      </c>
      <c r="L31" s="6"/>
      <c r="M31" s="6"/>
      <c r="N31" s="6"/>
      <c r="O31" s="30">
        <f t="shared" si="2"/>
        <v>1.0453818517519919</v>
      </c>
      <c r="P31" s="31">
        <f t="shared" si="3"/>
        <v>-0.34306881111696275</v>
      </c>
    </row>
    <row r="32" spans="2:16">
      <c r="B32" s="21" t="s">
        <v>33</v>
      </c>
      <c r="C32" s="8">
        <v>113654738</v>
      </c>
      <c r="D32" s="8">
        <v>-139226368</v>
      </c>
      <c r="E32" s="8">
        <v>-88085799</v>
      </c>
      <c r="F32" s="18">
        <v>-180805966</v>
      </c>
      <c r="G32" s="8">
        <v>-212081823</v>
      </c>
      <c r="H32" s="8">
        <v>-225020134</v>
      </c>
      <c r="I32" s="8">
        <v>-198649952</v>
      </c>
      <c r="J32" s="18">
        <v>-902734392</v>
      </c>
      <c r="K32" s="58">
        <v>-490760108</v>
      </c>
      <c r="L32" s="8"/>
      <c r="M32" s="8"/>
      <c r="N32" s="8"/>
      <c r="O32" s="28">
        <f t="shared" si="2"/>
        <v>1.3140130590069474</v>
      </c>
      <c r="P32" s="29">
        <f t="shared" si="3"/>
        <v>-0.45636267727351632</v>
      </c>
    </row>
    <row r="33" spans="2:16">
      <c r="B33" s="11" t="s">
        <v>34</v>
      </c>
      <c r="C33" s="6">
        <f>C31-C32</f>
        <v>317789169.00000381</v>
      </c>
      <c r="D33" s="6">
        <f t="shared" ref="D33:K33" si="12">D31-D32</f>
        <v>562059137.3118782</v>
      </c>
      <c r="E33" s="6">
        <f t="shared" si="12"/>
        <v>265014507.99999619</v>
      </c>
      <c r="F33" s="16">
        <f t="shared" si="12"/>
        <v>-1614111648.311882</v>
      </c>
      <c r="G33" s="6">
        <f t="shared" si="12"/>
        <v>-624565615</v>
      </c>
      <c r="H33" s="6">
        <f t="shared" si="12"/>
        <v>-246963670</v>
      </c>
      <c r="I33" s="6">
        <f t="shared" si="12"/>
        <v>-400980537</v>
      </c>
      <c r="J33" s="16">
        <f t="shared" si="12"/>
        <v>-1702201277</v>
      </c>
      <c r="K33" s="55">
        <f t="shared" si="12"/>
        <v>-1220503378</v>
      </c>
      <c r="L33" s="6"/>
      <c r="M33" s="6"/>
      <c r="N33" s="6"/>
      <c r="O33" s="30">
        <f t="shared" si="2"/>
        <v>0.95416357975454669</v>
      </c>
      <c r="P33" s="31">
        <f t="shared" si="3"/>
        <v>-0.28298527648208316</v>
      </c>
    </row>
    <row r="34" spans="2:16">
      <c r="B34" s="21" t="s">
        <v>35</v>
      </c>
      <c r="C34" s="8">
        <v>20527642</v>
      </c>
      <c r="D34" s="8">
        <v>7409560</v>
      </c>
      <c r="E34" s="8">
        <v>10179135</v>
      </c>
      <c r="F34" s="18">
        <v>-11986223</v>
      </c>
      <c r="G34" s="8">
        <v>3010122</v>
      </c>
      <c r="H34" s="8">
        <v>-20188158</v>
      </c>
      <c r="I34" s="8">
        <v>2568072</v>
      </c>
      <c r="J34" s="18">
        <v>-4400037</v>
      </c>
      <c r="K34" s="58">
        <v>4568128</v>
      </c>
      <c r="L34" s="8"/>
      <c r="M34" s="8"/>
      <c r="N34" s="8"/>
      <c r="O34" s="28">
        <f t="shared" si="2"/>
        <v>0.51758898808752596</v>
      </c>
      <c r="P34" s="29">
        <f t="shared" si="3"/>
        <v>-2.038202178754406</v>
      </c>
    </row>
    <row r="35" spans="2:16">
      <c r="B35" s="14" t="s">
        <v>36</v>
      </c>
      <c r="C35" s="9">
        <f>C33+C34</f>
        <v>338316811.00000381</v>
      </c>
      <c r="D35" s="9">
        <f t="shared" ref="D35:K35" si="13">D33+D34</f>
        <v>569468697.3118782</v>
      </c>
      <c r="E35" s="9">
        <f t="shared" si="13"/>
        <v>275193642.99999619</v>
      </c>
      <c r="F35" s="19">
        <f t="shared" si="13"/>
        <v>-1626097871.311882</v>
      </c>
      <c r="G35" s="9">
        <f t="shared" si="13"/>
        <v>-621555493</v>
      </c>
      <c r="H35" s="9">
        <f t="shared" si="13"/>
        <v>-267151828</v>
      </c>
      <c r="I35" s="9">
        <f t="shared" si="13"/>
        <v>-398412465</v>
      </c>
      <c r="J35" s="19">
        <f t="shared" si="13"/>
        <v>-1706601314</v>
      </c>
      <c r="K35" s="60">
        <f t="shared" si="13"/>
        <v>-1215935250</v>
      </c>
      <c r="L35" s="9"/>
      <c r="M35" s="9"/>
      <c r="N35" s="9"/>
      <c r="O35" s="32">
        <f t="shared" si="2"/>
        <v>0.95627786045485075</v>
      </c>
      <c r="P35" s="33">
        <f t="shared" si="3"/>
        <v>-0.28751065639927198</v>
      </c>
    </row>
    <row r="36" spans="2:16">
      <c r="E36" s="1"/>
    </row>
    <row r="37" spans="2:16">
      <c r="C37" s="2"/>
      <c r="E37" s="2"/>
      <c r="J37" s="4"/>
      <c r="K37" s="4"/>
      <c r="L37" s="4"/>
      <c r="M37" s="4"/>
      <c r="N37" s="4"/>
    </row>
  </sheetData>
  <mergeCells count="1">
    <mergeCell ref="B1:P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9FBC1-0D74-4400-AF00-F2CD59C58D32}">
  <dimension ref="B1:P32"/>
  <sheetViews>
    <sheetView showGridLines="0" zoomScaleNormal="100" workbookViewId="0"/>
  </sheetViews>
  <sheetFormatPr defaultRowHeight="17.399999999999999" outlineLevelCol="1"/>
  <cols>
    <col min="1" max="1" width="1.69921875" customWidth="1"/>
    <col min="2" max="2" width="25.5" bestFit="1" customWidth="1"/>
    <col min="3" max="6" width="10.69921875" hidden="1" customWidth="1" outlineLevel="1"/>
    <col min="7" max="7" width="10.69921875" customWidth="1" collapsed="1"/>
    <col min="8" max="11" width="10.69921875" customWidth="1"/>
    <col min="12" max="14" width="10.69921875" hidden="1" customWidth="1"/>
    <col min="15" max="16" width="10.69921875" customWidth="1"/>
  </cols>
  <sheetData>
    <row r="1" spans="2:16" ht="46.95" customHeight="1">
      <c r="B1" s="52" t="s">
        <v>68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2:16">
      <c r="J2" s="3"/>
      <c r="K2" s="3"/>
      <c r="L2" s="3"/>
      <c r="M2" s="3"/>
      <c r="N2" s="3"/>
      <c r="O2" s="3"/>
    </row>
    <row r="3" spans="2:16">
      <c r="B3" s="10" t="s">
        <v>1</v>
      </c>
      <c r="C3" s="5" t="s">
        <v>2</v>
      </c>
      <c r="D3" s="5" t="s">
        <v>3</v>
      </c>
      <c r="E3" s="5" t="s">
        <v>4</v>
      </c>
      <c r="F3" s="15" t="s">
        <v>5</v>
      </c>
      <c r="G3" s="5" t="s">
        <v>6</v>
      </c>
      <c r="H3" s="5" t="s">
        <v>7</v>
      </c>
      <c r="I3" s="5" t="s">
        <v>8</v>
      </c>
      <c r="J3" s="15" t="s">
        <v>9</v>
      </c>
      <c r="K3" s="15" t="s">
        <v>73</v>
      </c>
      <c r="L3" s="5"/>
      <c r="M3" s="5"/>
      <c r="N3" s="15"/>
      <c r="O3" s="5" t="s">
        <v>40</v>
      </c>
      <c r="P3" s="46" t="s">
        <v>41</v>
      </c>
    </row>
    <row r="4" spans="2:16">
      <c r="B4" s="11" t="s">
        <v>43</v>
      </c>
      <c r="C4" s="6">
        <f>SUM(C5:C8)</f>
        <v>35414711585</v>
      </c>
      <c r="D4" s="6">
        <f t="shared" ref="D4:J4" si="0">SUM(D5:D8)</f>
        <v>33018566878</v>
      </c>
      <c r="E4" s="6">
        <f t="shared" si="0"/>
        <v>33258330556</v>
      </c>
      <c r="F4" s="6">
        <f t="shared" si="0"/>
        <v>32204759431</v>
      </c>
      <c r="G4" s="45">
        <f t="shared" si="0"/>
        <v>27554932708</v>
      </c>
      <c r="H4" s="6">
        <f t="shared" si="0"/>
        <v>26289390828</v>
      </c>
      <c r="I4" s="6">
        <f t="shared" si="0"/>
        <v>26039812251</v>
      </c>
      <c r="J4" s="6">
        <f t="shared" si="0"/>
        <v>26501177155</v>
      </c>
      <c r="K4" s="55">
        <v>23249945606</v>
      </c>
      <c r="L4" s="6"/>
      <c r="M4" s="6"/>
      <c r="N4" s="6"/>
      <c r="O4" s="47">
        <f>+IFERROR((K4/G4-1),"n/a")</f>
        <v>-0.15623290202229878</v>
      </c>
      <c r="P4" s="31">
        <f>+IFERROR((K4/J4-1),"n/a")</f>
        <v>-0.12268253330726431</v>
      </c>
    </row>
    <row r="5" spans="2:16">
      <c r="B5" s="24" t="s">
        <v>44</v>
      </c>
      <c r="C5" s="34">
        <v>18554258221</v>
      </c>
      <c r="D5" s="34">
        <v>19484876945</v>
      </c>
      <c r="E5" s="34">
        <v>19484814708</v>
      </c>
      <c r="F5" s="35">
        <v>16313157141</v>
      </c>
      <c r="G5" s="34">
        <v>14085510562</v>
      </c>
      <c r="H5" s="34">
        <v>11970504874</v>
      </c>
      <c r="I5" s="34">
        <v>9710140935</v>
      </c>
      <c r="J5" s="35">
        <v>10401438499</v>
      </c>
      <c r="K5" s="35">
        <v>8235423460</v>
      </c>
      <c r="L5" s="34"/>
      <c r="M5" s="34"/>
      <c r="N5" s="35"/>
      <c r="O5" s="28">
        <f t="shared" ref="O5:O30" si="1">+IFERROR((K5/G5-1),"n/a")</f>
        <v>-0.41532659226300328</v>
      </c>
      <c r="P5" s="29">
        <f t="shared" ref="P5:P30" si="2">+IFERROR((K5/J5-1),"n/a")</f>
        <v>-0.20824187339167</v>
      </c>
    </row>
    <row r="6" spans="2:16">
      <c r="B6" s="24" t="s">
        <v>59</v>
      </c>
      <c r="C6" s="34">
        <v>8844000000</v>
      </c>
      <c r="D6" s="34">
        <v>3844000000</v>
      </c>
      <c r="E6" s="34">
        <v>3844000000</v>
      </c>
      <c r="F6" s="35">
        <v>4644000000</v>
      </c>
      <c r="G6" s="34">
        <v>5144000000</v>
      </c>
      <c r="H6" s="34">
        <v>4644000000</v>
      </c>
      <c r="I6" s="34">
        <v>4644000000</v>
      </c>
      <c r="J6" s="35">
        <v>2644000000</v>
      </c>
      <c r="K6" s="35">
        <v>2644000000</v>
      </c>
      <c r="L6" s="34"/>
      <c r="M6" s="34"/>
      <c r="N6" s="35"/>
      <c r="O6" s="28">
        <f t="shared" si="1"/>
        <v>-0.48600311041990674</v>
      </c>
      <c r="P6" s="29">
        <f t="shared" si="2"/>
        <v>0</v>
      </c>
    </row>
    <row r="7" spans="2:16">
      <c r="B7" s="24" t="s">
        <v>70</v>
      </c>
      <c r="C7" s="34">
        <v>7293958959</v>
      </c>
      <c r="D7" s="34">
        <v>9049492116</v>
      </c>
      <c r="E7" s="34">
        <v>9225476156</v>
      </c>
      <c r="F7" s="35">
        <v>9711308321</v>
      </c>
      <c r="G7" s="34">
        <v>6341794418</v>
      </c>
      <c r="H7" s="34">
        <v>7603678308</v>
      </c>
      <c r="I7" s="34">
        <v>9763975422</v>
      </c>
      <c r="J7" s="35">
        <v>9914508859</v>
      </c>
      <c r="K7" s="35">
        <v>7649550991</v>
      </c>
      <c r="L7" s="34"/>
      <c r="M7" s="34"/>
      <c r="N7" s="35"/>
      <c r="O7" s="28">
        <f t="shared" si="1"/>
        <v>0.20621238829315836</v>
      </c>
      <c r="P7" s="29">
        <f t="shared" si="2"/>
        <v>-0.22844882184395454</v>
      </c>
    </row>
    <row r="8" spans="2:16">
      <c r="B8" s="24" t="s">
        <v>45</v>
      </c>
      <c r="C8" s="34">
        <v>722494405</v>
      </c>
      <c r="D8" s="34">
        <v>640197817</v>
      </c>
      <c r="E8" s="34">
        <v>704039692</v>
      </c>
      <c r="F8" s="35">
        <v>1536293969</v>
      </c>
      <c r="G8" s="34">
        <v>1983627728</v>
      </c>
      <c r="H8" s="34">
        <v>2071207646</v>
      </c>
      <c r="I8" s="34">
        <v>1921695894</v>
      </c>
      <c r="J8" s="35">
        <v>3541229797</v>
      </c>
      <c r="K8" s="35">
        <f>K4-SUM(K5:K7)</f>
        <v>4720971155</v>
      </c>
      <c r="L8" s="34"/>
      <c r="M8" s="34"/>
      <c r="N8" s="35"/>
      <c r="O8" s="28">
        <f t="shared" si="1"/>
        <v>1.3799683218584247</v>
      </c>
      <c r="P8" s="29">
        <f t="shared" si="2"/>
        <v>0.33314453611551387</v>
      </c>
    </row>
    <row r="9" spans="2:16">
      <c r="B9" s="11" t="s">
        <v>46</v>
      </c>
      <c r="C9" s="6">
        <f t="shared" ref="C9:J9" si="3">SUM(C10:C13)</f>
        <v>43172966852</v>
      </c>
      <c r="D9" s="6">
        <f t="shared" si="3"/>
        <v>44528151188</v>
      </c>
      <c r="E9" s="6">
        <f t="shared" si="3"/>
        <v>47484554364</v>
      </c>
      <c r="F9" s="6">
        <f t="shared" si="3"/>
        <v>51137121851</v>
      </c>
      <c r="G9" s="45">
        <f t="shared" si="3"/>
        <v>51958536474</v>
      </c>
      <c r="H9" s="6">
        <f t="shared" si="3"/>
        <v>51617824709</v>
      </c>
      <c r="I9" s="6">
        <f t="shared" si="3"/>
        <v>51595643687</v>
      </c>
      <c r="J9" s="6">
        <f t="shared" si="3"/>
        <v>48666994573</v>
      </c>
      <c r="K9" s="55">
        <v>48552257309</v>
      </c>
      <c r="L9" s="6"/>
      <c r="M9" s="6"/>
      <c r="N9" s="6"/>
      <c r="O9" s="47">
        <f t="shared" si="1"/>
        <v>-6.555764261575181E-2</v>
      </c>
      <c r="P9" s="31">
        <f t="shared" si="2"/>
        <v>-2.3575991286639564E-3</v>
      </c>
    </row>
    <row r="10" spans="2:16">
      <c r="B10" s="24" t="s">
        <v>60</v>
      </c>
      <c r="C10" s="34">
        <v>6502944335</v>
      </c>
      <c r="D10" s="34">
        <v>6497478497</v>
      </c>
      <c r="E10" s="34">
        <v>30918792281</v>
      </c>
      <c r="F10" s="35">
        <v>30904175138</v>
      </c>
      <c r="G10" s="34">
        <v>30889557995</v>
      </c>
      <c r="H10" s="34">
        <v>30874940852</v>
      </c>
      <c r="I10" s="34">
        <v>30860323709</v>
      </c>
      <c r="J10" s="35">
        <v>30845706566</v>
      </c>
      <c r="K10" s="35">
        <v>30831089423</v>
      </c>
      <c r="L10" s="34"/>
      <c r="M10" s="34"/>
      <c r="N10" s="35"/>
      <c r="O10" s="28">
        <f t="shared" si="1"/>
        <v>-1.8928264369941772E-3</v>
      </c>
      <c r="P10" s="29">
        <f t="shared" si="2"/>
        <v>-4.7387933775233648E-4</v>
      </c>
    </row>
    <row r="11" spans="2:16">
      <c r="B11" s="24" t="s">
        <v>47</v>
      </c>
      <c r="C11" s="34">
        <v>25107425267</v>
      </c>
      <c r="D11" s="34">
        <v>25024628624</v>
      </c>
      <c r="E11" s="34">
        <v>556962338</v>
      </c>
      <c r="F11" s="35">
        <v>6203591108</v>
      </c>
      <c r="G11" s="34">
        <v>6006004142</v>
      </c>
      <c r="H11" s="34">
        <v>5654669759</v>
      </c>
      <c r="I11" s="34">
        <v>5308147350</v>
      </c>
      <c r="J11" s="35">
        <v>4969995967</v>
      </c>
      <c r="K11" s="35">
        <v>4614306545</v>
      </c>
      <c r="L11" s="34"/>
      <c r="M11" s="34"/>
      <c r="N11" s="35"/>
      <c r="O11" s="28">
        <f t="shared" si="1"/>
        <v>-0.23171772181571704</v>
      </c>
      <c r="P11" s="29">
        <f t="shared" si="2"/>
        <v>-7.1567346203442073E-2</v>
      </c>
    </row>
    <row r="12" spans="2:16">
      <c r="B12" s="24" t="s">
        <v>48</v>
      </c>
      <c r="C12" s="34">
        <v>2045105328</v>
      </c>
      <c r="D12" s="34">
        <v>2002296985</v>
      </c>
      <c r="E12" s="34">
        <v>1960309682</v>
      </c>
      <c r="F12" s="35">
        <v>663041456</v>
      </c>
      <c r="G12" s="34">
        <v>965016741</v>
      </c>
      <c r="H12" s="34">
        <v>1278346987</v>
      </c>
      <c r="I12" s="34">
        <v>1167687303</v>
      </c>
      <c r="J12" s="35">
        <v>1058756384</v>
      </c>
      <c r="K12" s="35">
        <v>958631058</v>
      </c>
      <c r="L12" s="34"/>
      <c r="M12" s="34"/>
      <c r="N12" s="35"/>
      <c r="O12" s="28">
        <f t="shared" si="1"/>
        <v>-6.6171732869451105E-3</v>
      </c>
      <c r="P12" s="29">
        <f t="shared" si="2"/>
        <v>-9.45688049801644E-2</v>
      </c>
    </row>
    <row r="13" spans="2:16">
      <c r="B13" s="24" t="s">
        <v>49</v>
      </c>
      <c r="C13" s="34">
        <v>9517491922</v>
      </c>
      <c r="D13" s="34">
        <v>11003747082</v>
      </c>
      <c r="E13" s="34">
        <v>14048490063</v>
      </c>
      <c r="F13" s="35">
        <v>13366314149</v>
      </c>
      <c r="G13" s="34">
        <v>14097957596</v>
      </c>
      <c r="H13" s="34">
        <v>13809867111</v>
      </c>
      <c r="I13" s="34">
        <v>14259485325</v>
      </c>
      <c r="J13" s="35">
        <v>11792535656</v>
      </c>
      <c r="K13" s="35">
        <f>K9-SUM(K10:K12)</f>
        <v>12148230283</v>
      </c>
      <c r="L13" s="34"/>
      <c r="M13" s="34"/>
      <c r="N13" s="35"/>
      <c r="O13" s="28">
        <f t="shared" si="1"/>
        <v>-0.13829856557046205</v>
      </c>
      <c r="P13" s="29">
        <f t="shared" si="2"/>
        <v>3.0162692518044043E-2</v>
      </c>
    </row>
    <row r="14" spans="2:16">
      <c r="B14" s="11" t="s">
        <v>50</v>
      </c>
      <c r="C14" s="6">
        <f t="shared" ref="C14:J14" si="4">C4+C9</f>
        <v>78587678437</v>
      </c>
      <c r="D14" s="6">
        <f t="shared" si="4"/>
        <v>77546718066</v>
      </c>
      <c r="E14" s="6">
        <f t="shared" si="4"/>
        <v>80742884920</v>
      </c>
      <c r="F14" s="16">
        <f t="shared" si="4"/>
        <v>83341881282</v>
      </c>
      <c r="G14" s="6">
        <f t="shared" si="4"/>
        <v>79513469182</v>
      </c>
      <c r="H14" s="6">
        <f t="shared" si="4"/>
        <v>77907215537</v>
      </c>
      <c r="I14" s="6">
        <f t="shared" si="4"/>
        <v>77635455938</v>
      </c>
      <c r="J14" s="16">
        <f t="shared" si="4"/>
        <v>75168171728</v>
      </c>
      <c r="K14" s="16">
        <f>K4+K9</f>
        <v>71802202915</v>
      </c>
      <c r="L14" s="6"/>
      <c r="M14" s="6"/>
      <c r="N14" s="16"/>
      <c r="O14" s="30">
        <f t="shared" si="1"/>
        <v>-9.6980629147868314E-2</v>
      </c>
      <c r="P14" s="31">
        <f t="shared" si="2"/>
        <v>-4.4779176287271349E-2</v>
      </c>
    </row>
    <row r="15" spans="2:16">
      <c r="B15" s="11" t="s">
        <v>51</v>
      </c>
      <c r="C15" s="6">
        <f>SUM(C16:C19)</f>
        <v>14348165977</v>
      </c>
      <c r="D15" s="6">
        <f t="shared" ref="D15:J15" si="5">SUM(D16:D19)</f>
        <v>15151386129</v>
      </c>
      <c r="E15" s="6">
        <f t="shared" si="5"/>
        <v>15974625770</v>
      </c>
      <c r="F15" s="16">
        <f t="shared" si="5"/>
        <v>18782216806</v>
      </c>
      <c r="G15" s="6">
        <f t="shared" si="5"/>
        <v>15887529185</v>
      </c>
      <c r="H15" s="6">
        <f t="shared" si="5"/>
        <v>16643407239</v>
      </c>
      <c r="I15" s="6">
        <f t="shared" si="5"/>
        <v>16687789088</v>
      </c>
      <c r="J15" s="16">
        <f t="shared" si="5"/>
        <v>39579955965</v>
      </c>
      <c r="K15" s="16">
        <v>37686125367</v>
      </c>
      <c r="L15" s="6"/>
      <c r="M15" s="6"/>
      <c r="N15" s="16"/>
      <c r="O15" s="30">
        <f t="shared" si="1"/>
        <v>1.3720570346823253</v>
      </c>
      <c r="P15" s="31">
        <f t="shared" si="2"/>
        <v>-4.7848223976668547E-2</v>
      </c>
    </row>
    <row r="16" spans="2:16">
      <c r="B16" s="24" t="s">
        <v>72</v>
      </c>
      <c r="C16" s="34">
        <v>10534143690</v>
      </c>
      <c r="D16" s="34">
        <v>11814318511</v>
      </c>
      <c r="E16" s="34">
        <v>12164452590</v>
      </c>
      <c r="F16" s="35">
        <v>14332118202</v>
      </c>
      <c r="G16" s="34">
        <v>11237086844</v>
      </c>
      <c r="H16" s="34">
        <v>12067423755</v>
      </c>
      <c r="I16" s="34">
        <v>12668377839</v>
      </c>
      <c r="J16" s="35">
        <v>12796037982</v>
      </c>
      <c r="K16" s="35">
        <v>10744874781</v>
      </c>
      <c r="L16" s="34"/>
      <c r="M16" s="34"/>
      <c r="N16" s="35"/>
      <c r="O16" s="28">
        <f t="shared" si="1"/>
        <v>-4.3802461423782191E-2</v>
      </c>
      <c r="P16" s="29">
        <f t="shared" si="2"/>
        <v>-0.16029674215451228</v>
      </c>
    </row>
    <row r="17" spans="2:16">
      <c r="B17" s="24" t="s">
        <v>61</v>
      </c>
      <c r="C17" s="34">
        <v>1325710000</v>
      </c>
      <c r="D17" s="34">
        <v>1342330000</v>
      </c>
      <c r="E17" s="34">
        <v>1358950000</v>
      </c>
      <c r="F17" s="35">
        <v>1327820000</v>
      </c>
      <c r="G17" s="34">
        <v>1327820000</v>
      </c>
      <c r="H17" s="34">
        <v>1327820000</v>
      </c>
      <c r="I17" s="34">
        <v>1127820000</v>
      </c>
      <c r="J17" s="35">
        <v>22885926900</v>
      </c>
      <c r="K17" s="35">
        <v>23604294670</v>
      </c>
      <c r="L17" s="34"/>
      <c r="M17" s="34"/>
      <c r="N17" s="35"/>
      <c r="O17" s="28">
        <f t="shared" si="1"/>
        <v>16.776727771836544</v>
      </c>
      <c r="P17" s="29">
        <f t="shared" si="2"/>
        <v>3.1389061633330551E-2</v>
      </c>
    </row>
    <row r="18" spans="2:16">
      <c r="B18" s="24" t="s">
        <v>62</v>
      </c>
      <c r="C18" s="34">
        <v>219303008</v>
      </c>
      <c r="D18" s="34">
        <v>172933447</v>
      </c>
      <c r="E18" s="34">
        <v>154857500</v>
      </c>
      <c r="F18" s="35">
        <v>628565988</v>
      </c>
      <c r="G18" s="34">
        <v>1323775794</v>
      </c>
      <c r="H18" s="34">
        <v>1319440529</v>
      </c>
      <c r="I18" s="34">
        <v>1311830231</v>
      </c>
      <c r="J18" s="35">
        <v>1296112517</v>
      </c>
      <c r="K18" s="35">
        <v>1259930486</v>
      </c>
      <c r="L18" s="34"/>
      <c r="M18" s="34"/>
      <c r="N18" s="35"/>
      <c r="O18" s="28">
        <f t="shared" si="1"/>
        <v>-4.8229698933443421E-2</v>
      </c>
      <c r="P18" s="29">
        <f t="shared" si="2"/>
        <v>-2.7915810182704948E-2</v>
      </c>
    </row>
    <row r="19" spans="2:16">
      <c r="B19" s="24" t="s">
        <v>53</v>
      </c>
      <c r="C19" s="34">
        <v>2269009279</v>
      </c>
      <c r="D19" s="34">
        <v>1821804171</v>
      </c>
      <c r="E19" s="34">
        <v>2296365680</v>
      </c>
      <c r="F19" s="35">
        <v>2493712616</v>
      </c>
      <c r="G19" s="34">
        <v>1998846547</v>
      </c>
      <c r="H19" s="34">
        <v>1928722955</v>
      </c>
      <c r="I19" s="34">
        <v>1579761018</v>
      </c>
      <c r="J19" s="35">
        <v>2601878566</v>
      </c>
      <c r="K19" s="35">
        <f>K15-SUM(K16:K18)</f>
        <v>2077025430</v>
      </c>
      <c r="L19" s="34"/>
      <c r="M19" s="34"/>
      <c r="N19" s="35"/>
      <c r="O19" s="28">
        <f t="shared" si="1"/>
        <v>3.9111998425960248E-2</v>
      </c>
      <c r="P19" s="29">
        <f t="shared" si="2"/>
        <v>-0.20172084234003407</v>
      </c>
    </row>
    <row r="20" spans="2:16">
      <c r="B20" s="11" t="s">
        <v>54</v>
      </c>
      <c r="C20" s="6">
        <f>SUM(C21:C23)</f>
        <v>22750492843</v>
      </c>
      <c r="D20" s="6">
        <f t="shared" ref="D20:J20" si="6">SUM(D21:D23)</f>
        <v>23850623823</v>
      </c>
      <c r="E20" s="6">
        <f t="shared" si="6"/>
        <v>25948357393</v>
      </c>
      <c r="F20" s="6">
        <f t="shared" si="6"/>
        <v>27365860590</v>
      </c>
      <c r="G20" s="45">
        <f t="shared" si="6"/>
        <v>27053691604</v>
      </c>
      <c r="H20" s="6">
        <f t="shared" si="6"/>
        <v>26648890493</v>
      </c>
      <c r="I20" s="6">
        <f t="shared" si="6"/>
        <v>26731161510</v>
      </c>
      <c r="J20" s="16">
        <f t="shared" si="6"/>
        <v>3659918387</v>
      </c>
      <c r="K20" s="55">
        <v>3403715422</v>
      </c>
      <c r="L20" s="6"/>
      <c r="M20" s="6"/>
      <c r="N20" s="16"/>
      <c r="O20" s="30">
        <f t="shared" si="1"/>
        <v>-0.8741866554915283</v>
      </c>
      <c r="P20" s="31">
        <f t="shared" si="2"/>
        <v>-7.0002371066532731E-2</v>
      </c>
    </row>
    <row r="21" spans="2:16">
      <c r="B21" s="24" t="s">
        <v>63</v>
      </c>
      <c r="C21" s="34">
        <v>22551114120</v>
      </c>
      <c r="D21" s="34">
        <v>23669563710</v>
      </c>
      <c r="E21" s="34">
        <v>25796870330</v>
      </c>
      <c r="F21" s="35">
        <v>22637838430</v>
      </c>
      <c r="G21" s="34">
        <v>22975752370</v>
      </c>
      <c r="H21" s="34">
        <v>22844417040</v>
      </c>
      <c r="I21" s="34">
        <v>23100753640</v>
      </c>
      <c r="J21" s="35">
        <v>124750000</v>
      </c>
      <c r="K21" s="35">
        <v>91480000</v>
      </c>
      <c r="L21" s="34"/>
      <c r="M21" s="34"/>
      <c r="N21" s="35"/>
      <c r="O21" s="28">
        <f t="shared" si="1"/>
        <v>-0.9960184111263557</v>
      </c>
      <c r="P21" s="29">
        <f t="shared" si="2"/>
        <v>-0.26669338677354715</v>
      </c>
    </row>
    <row r="22" spans="2:16">
      <c r="B22" s="24" t="s">
        <v>52</v>
      </c>
      <c r="C22" s="34">
        <v>99378723</v>
      </c>
      <c r="D22" s="34">
        <v>181060113</v>
      </c>
      <c r="E22" s="34">
        <v>151487063</v>
      </c>
      <c r="F22" s="35">
        <v>4468758165</v>
      </c>
      <c r="G22" s="34">
        <v>3814733365</v>
      </c>
      <c r="H22" s="34">
        <v>3537308342</v>
      </c>
      <c r="I22" s="34">
        <v>3359175264</v>
      </c>
      <c r="J22" s="35">
        <v>3259757074</v>
      </c>
      <c r="K22" s="35">
        <v>2983731150</v>
      </c>
      <c r="L22" s="34"/>
      <c r="M22" s="34"/>
      <c r="N22" s="35"/>
      <c r="O22" s="28">
        <f t="shared" si="1"/>
        <v>-0.21784018317621001</v>
      </c>
      <c r="P22" s="29">
        <f t="shared" si="2"/>
        <v>-8.4676838713411473E-2</v>
      </c>
    </row>
    <row r="23" spans="2:16">
      <c r="B23" s="24" t="s">
        <v>64</v>
      </c>
      <c r="C23" s="34">
        <v>100000000</v>
      </c>
      <c r="D23" s="34">
        <v>0</v>
      </c>
      <c r="E23" s="34">
        <v>0</v>
      </c>
      <c r="F23" s="35">
        <v>259263995</v>
      </c>
      <c r="G23" s="34">
        <v>263205869</v>
      </c>
      <c r="H23" s="34">
        <v>267165111</v>
      </c>
      <c r="I23" s="34">
        <v>271232606</v>
      </c>
      <c r="J23" s="35">
        <v>275411313</v>
      </c>
      <c r="K23" s="35">
        <f>K20-K21-K22</f>
        <v>328504272</v>
      </c>
      <c r="L23" s="34"/>
      <c r="M23" s="34"/>
      <c r="N23" s="35"/>
      <c r="O23" s="28">
        <f t="shared" si="1"/>
        <v>0.2480887042834139</v>
      </c>
      <c r="P23" s="29">
        <f t="shared" si="2"/>
        <v>0.19277697209191991</v>
      </c>
    </row>
    <row r="24" spans="2:16">
      <c r="B24" s="11" t="s">
        <v>55</v>
      </c>
      <c r="C24" s="6">
        <f>C15+C20</f>
        <v>37098658820</v>
      </c>
      <c r="D24" s="6">
        <f t="shared" ref="D24:J24" si="7">D15+D20</f>
        <v>39002009952</v>
      </c>
      <c r="E24" s="6">
        <f t="shared" si="7"/>
        <v>41922983163</v>
      </c>
      <c r="F24" s="16">
        <f t="shared" si="7"/>
        <v>46148077396</v>
      </c>
      <c r="G24" s="6">
        <f t="shared" si="7"/>
        <v>42941220789</v>
      </c>
      <c r="H24" s="6">
        <f t="shared" si="7"/>
        <v>43292297732</v>
      </c>
      <c r="I24" s="6">
        <f t="shared" si="7"/>
        <v>43418950598</v>
      </c>
      <c r="J24" s="6">
        <f t="shared" si="7"/>
        <v>43239874352</v>
      </c>
      <c r="K24" s="16">
        <v>41089840789</v>
      </c>
      <c r="L24" s="6"/>
      <c r="M24" s="6"/>
      <c r="N24" s="6"/>
      <c r="O24" s="47">
        <f t="shared" si="1"/>
        <v>-4.3114284270051706E-2</v>
      </c>
      <c r="P24" s="31">
        <f t="shared" si="2"/>
        <v>-4.972339987617358E-2</v>
      </c>
    </row>
    <row r="25" spans="2:16">
      <c r="B25" s="24" t="s">
        <v>65</v>
      </c>
      <c r="C25" s="34">
        <v>848771300</v>
      </c>
      <c r="D25" s="34">
        <v>1697542600</v>
      </c>
      <c r="E25" s="34">
        <v>1697542600</v>
      </c>
      <c r="F25" s="35">
        <v>1697542600</v>
      </c>
      <c r="G25" s="34">
        <v>1697542600</v>
      </c>
      <c r="H25" s="34">
        <v>1697542600</v>
      </c>
      <c r="I25" s="34">
        <v>1697542600</v>
      </c>
      <c r="J25" s="35">
        <v>1697542600</v>
      </c>
      <c r="K25" s="35">
        <v>1697542600</v>
      </c>
      <c r="L25" s="34"/>
      <c r="M25" s="34"/>
      <c r="N25" s="35"/>
      <c r="O25" s="28">
        <f t="shared" si="1"/>
        <v>0</v>
      </c>
      <c r="P25" s="29">
        <f t="shared" si="2"/>
        <v>0</v>
      </c>
    </row>
    <row r="26" spans="2:16">
      <c r="B26" s="24" t="s">
        <v>66</v>
      </c>
      <c r="C26" s="34">
        <v>35420272858</v>
      </c>
      <c r="D26" s="34">
        <v>34550549878</v>
      </c>
      <c r="E26" s="34">
        <v>34550549878</v>
      </c>
      <c r="F26" s="35">
        <v>34550549878</v>
      </c>
      <c r="G26" s="34">
        <v>27550549878</v>
      </c>
      <c r="H26" s="34">
        <v>27550549878</v>
      </c>
      <c r="I26" s="34">
        <v>27550549878</v>
      </c>
      <c r="J26" s="35">
        <v>27550549878</v>
      </c>
      <c r="K26" s="35">
        <v>27550549878</v>
      </c>
      <c r="L26" s="34"/>
      <c r="M26" s="34"/>
      <c r="N26" s="35"/>
      <c r="O26" s="28">
        <f t="shared" si="1"/>
        <v>0</v>
      </c>
      <c r="P26" s="29">
        <f t="shared" si="2"/>
        <v>0</v>
      </c>
    </row>
    <row r="27" spans="2:16">
      <c r="B27" s="24" t="s">
        <v>56</v>
      </c>
      <c r="C27" s="34">
        <v>22043258</v>
      </c>
      <c r="D27" s="34">
        <v>-3463375702</v>
      </c>
      <c r="E27" s="34">
        <v>-3453196567</v>
      </c>
      <c r="F27" s="35">
        <v>-3465182790</v>
      </c>
      <c r="G27" s="36">
        <v>-3462172668</v>
      </c>
      <c r="H27" s="34">
        <v>-5172539586</v>
      </c>
      <c r="I27" s="34">
        <v>-5169971514</v>
      </c>
      <c r="J27" s="35">
        <v>-5755978201</v>
      </c>
      <c r="K27" s="61">
        <v>-5751410073</v>
      </c>
      <c r="L27" s="34"/>
      <c r="M27" s="34"/>
      <c r="N27" s="35"/>
      <c r="O27" s="28">
        <f t="shared" si="1"/>
        <v>0.66121410585868556</v>
      </c>
      <c r="P27" s="29">
        <f t="shared" si="2"/>
        <v>-7.9363191459036475E-4</v>
      </c>
    </row>
    <row r="28" spans="2:16">
      <c r="B28" s="24" t="s">
        <v>57</v>
      </c>
      <c r="C28" s="34">
        <v>5197932201</v>
      </c>
      <c r="D28" s="34">
        <v>5759991338</v>
      </c>
      <c r="E28" s="34">
        <v>6025005846</v>
      </c>
      <c r="F28" s="35">
        <v>4410894198</v>
      </c>
      <c r="G28" s="34">
        <v>10786328583</v>
      </c>
      <c r="H28" s="34">
        <v>10539364913</v>
      </c>
      <c r="I28" s="34">
        <v>10138384376</v>
      </c>
      <c r="J28" s="35">
        <v>8436183099</v>
      </c>
      <c r="K28" s="35">
        <v>7215679721</v>
      </c>
      <c r="L28" s="34"/>
      <c r="M28" s="34"/>
      <c r="N28" s="35"/>
      <c r="O28" s="28">
        <f t="shared" si="1"/>
        <v>-0.33103468288807647</v>
      </c>
      <c r="P28" s="29">
        <f t="shared" si="2"/>
        <v>-0.1446748326437669</v>
      </c>
    </row>
    <row r="29" spans="2:16">
      <c r="B29" s="37" t="s">
        <v>58</v>
      </c>
      <c r="C29" s="6">
        <f>SUM(C25:C28)</f>
        <v>41489019617</v>
      </c>
      <c r="D29" s="6">
        <f t="shared" ref="D29:J29" si="8">SUM(D25:D28)</f>
        <v>38544708114</v>
      </c>
      <c r="E29" s="6">
        <f t="shared" si="8"/>
        <v>38819901757</v>
      </c>
      <c r="F29" s="16">
        <f t="shared" si="8"/>
        <v>37193803886</v>
      </c>
      <c r="G29" s="6">
        <f t="shared" si="8"/>
        <v>36572248393</v>
      </c>
      <c r="H29" s="6">
        <f t="shared" si="8"/>
        <v>34614917805</v>
      </c>
      <c r="I29" s="6">
        <f t="shared" si="8"/>
        <v>34216505340</v>
      </c>
      <c r="J29" s="16">
        <f t="shared" si="8"/>
        <v>31928297376</v>
      </c>
      <c r="K29" s="16">
        <f>SUM(K25:K28)</f>
        <v>30712362126</v>
      </c>
      <c r="L29" s="6"/>
      <c r="M29" s="6"/>
      <c r="N29" s="16"/>
      <c r="O29" s="30">
        <f t="shared" si="1"/>
        <v>-0.16022767329015497</v>
      </c>
      <c r="P29" s="31">
        <f t="shared" si="2"/>
        <v>-3.8083310102028811E-2</v>
      </c>
    </row>
    <row r="30" spans="2:16">
      <c r="B30" s="14" t="s">
        <v>67</v>
      </c>
      <c r="C30" s="9">
        <f>C29+C24</f>
        <v>78587678437</v>
      </c>
      <c r="D30" s="9">
        <f t="shared" ref="D30:J30" si="9">D29+D24</f>
        <v>77546718066</v>
      </c>
      <c r="E30" s="9">
        <f t="shared" si="9"/>
        <v>80742884920</v>
      </c>
      <c r="F30" s="19">
        <f t="shared" si="9"/>
        <v>83341881282</v>
      </c>
      <c r="G30" s="9">
        <f t="shared" si="9"/>
        <v>79513469182</v>
      </c>
      <c r="H30" s="9">
        <f t="shared" si="9"/>
        <v>77907215537</v>
      </c>
      <c r="I30" s="9">
        <f t="shared" si="9"/>
        <v>77635455938</v>
      </c>
      <c r="J30" s="19">
        <f t="shared" si="9"/>
        <v>75168171728</v>
      </c>
      <c r="K30" s="19">
        <f>K29+K24</f>
        <v>71802202915</v>
      </c>
      <c r="L30" s="9"/>
      <c r="M30" s="9"/>
      <c r="N30" s="19"/>
      <c r="O30" s="32">
        <f t="shared" si="1"/>
        <v>-9.6980629147868314E-2</v>
      </c>
      <c r="P30" s="33">
        <f t="shared" si="2"/>
        <v>-4.4779176287271349E-2</v>
      </c>
    </row>
    <row r="31" spans="2:16">
      <c r="E31" s="1"/>
    </row>
    <row r="32" spans="2:16">
      <c r="C32" s="2"/>
      <c r="E32" s="2"/>
    </row>
  </sheetData>
  <mergeCells count="1">
    <mergeCell ref="B1:P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D334-7018-4F1F-9F5E-017147B91868}">
  <dimension ref="B1:T37"/>
  <sheetViews>
    <sheetView showGridLines="0" zoomScaleNormal="100" workbookViewId="0"/>
  </sheetViews>
  <sheetFormatPr defaultRowHeight="17.399999999999999" outlineLevelCol="1"/>
  <cols>
    <col min="1" max="1" width="1.69921875" customWidth="1"/>
    <col min="2" max="2" width="25.5" bestFit="1" customWidth="1"/>
    <col min="3" max="6" width="10.69921875" hidden="1" customWidth="1" outlineLevel="1"/>
    <col min="7" max="7" width="10.69921875" customWidth="1" collapsed="1"/>
    <col min="8" max="11" width="10.69921875" customWidth="1"/>
    <col min="12" max="14" width="10.69921875" hidden="1" customWidth="1"/>
    <col min="15" max="16" width="10.69921875" customWidth="1"/>
    <col min="18" max="18" width="11.69921875" bestFit="1" customWidth="1"/>
    <col min="19" max="19" width="13.5" bestFit="1" customWidth="1"/>
    <col min="20" max="20" width="11.296875" bestFit="1" customWidth="1"/>
  </cols>
  <sheetData>
    <row r="1" spans="2:20" ht="46.95" customHeight="1">
      <c r="B1" s="52" t="s">
        <v>42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2:20"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</row>
    <row r="3" spans="2:20">
      <c r="B3" s="10" t="s">
        <v>1</v>
      </c>
      <c r="C3" s="5" t="s">
        <v>2</v>
      </c>
      <c r="D3" s="5" t="s">
        <v>3</v>
      </c>
      <c r="E3" s="5" t="s">
        <v>4</v>
      </c>
      <c r="F3" s="15" t="s">
        <v>5</v>
      </c>
      <c r="G3" s="5" t="s">
        <v>6</v>
      </c>
      <c r="H3" s="5" t="s">
        <v>7</v>
      </c>
      <c r="I3" s="5" t="s">
        <v>8</v>
      </c>
      <c r="J3" s="15" t="s">
        <v>9</v>
      </c>
      <c r="K3" s="54" t="s">
        <v>73</v>
      </c>
      <c r="L3" s="5"/>
      <c r="M3" s="5"/>
      <c r="N3" s="15"/>
      <c r="O3" s="26" t="s">
        <v>40</v>
      </c>
      <c r="P3" s="27" t="s">
        <v>41</v>
      </c>
    </row>
    <row r="4" spans="2:20">
      <c r="B4" s="11" t="s">
        <v>10</v>
      </c>
      <c r="C4" s="6">
        <f t="shared" ref="C4:J4" si="0">SUM(C5,C8,C11)</f>
        <v>22225636736.000004</v>
      </c>
      <c r="D4" s="6">
        <f t="shared" si="0"/>
        <v>24438421131</v>
      </c>
      <c r="E4" s="6">
        <f t="shared" si="0"/>
        <v>26290151652</v>
      </c>
      <c r="F4" s="16">
        <f t="shared" si="0"/>
        <v>29565554955</v>
      </c>
      <c r="G4" s="6">
        <f t="shared" si="0"/>
        <v>23804654984</v>
      </c>
      <c r="H4" s="6">
        <f t="shared" si="0"/>
        <v>25378003830</v>
      </c>
      <c r="I4" s="6">
        <f t="shared" si="0"/>
        <v>26707041045</v>
      </c>
      <c r="J4" s="16">
        <f t="shared" si="0"/>
        <v>27141667461</v>
      </c>
      <c r="K4" s="55">
        <f>K5+K8</f>
        <v>22479895638</v>
      </c>
      <c r="L4" s="6"/>
      <c r="M4" s="6"/>
      <c r="N4" s="16"/>
      <c r="O4" s="30">
        <f>+IFERROR((K4/G4-1),"n/a")</f>
        <v>-5.5651272698151732E-2</v>
      </c>
      <c r="P4" s="42">
        <f>+IFERROR((K4/J4-1),"n/a")</f>
        <v>-0.17175701639180874</v>
      </c>
    </row>
    <row r="5" spans="2:20">
      <c r="B5" s="12" t="s">
        <v>11</v>
      </c>
      <c r="C5" s="7">
        <f>SUM(C6:C7)</f>
        <v>21432308696.000004</v>
      </c>
      <c r="D5" s="7">
        <f t="shared" ref="D5:J5" si="1">SUM(D6:D7)</f>
        <v>23563431609.311878</v>
      </c>
      <c r="E5" s="7">
        <f t="shared" si="1"/>
        <v>24600733744.999996</v>
      </c>
      <c r="F5" s="17">
        <f t="shared" si="1"/>
        <v>29546964949.688118</v>
      </c>
      <c r="G5" s="7">
        <f t="shared" si="1"/>
        <v>22760239000</v>
      </c>
      <c r="H5" s="7">
        <f t="shared" si="1"/>
        <v>24193540000</v>
      </c>
      <c r="I5" s="7">
        <f t="shared" si="1"/>
        <v>25662736513</v>
      </c>
      <c r="J5" s="17">
        <f t="shared" si="1"/>
        <v>27066894405</v>
      </c>
      <c r="K5" s="56">
        <f>K6+K7</f>
        <v>21916626670</v>
      </c>
      <c r="L5" s="7"/>
      <c r="M5" s="7"/>
      <c r="N5" s="17"/>
      <c r="O5" s="28">
        <f>+IFERROR((K5/G5-1),"n/a")</f>
        <v>-3.7065178884984507E-2</v>
      </c>
      <c r="P5" s="43">
        <f>+IFERROR((K5/J5-1),"n/a")</f>
        <v>-0.19027922664258834</v>
      </c>
    </row>
    <row r="6" spans="2:20">
      <c r="B6" s="20" t="s">
        <v>12</v>
      </c>
      <c r="C6" s="8">
        <v>3938654753.0000024</v>
      </c>
      <c r="D6" s="8">
        <v>3843069444.2118759</v>
      </c>
      <c r="E6" s="8">
        <v>3047589089.9999924</v>
      </c>
      <c r="F6" s="18">
        <v>3569341712.7881298</v>
      </c>
      <c r="G6" s="38">
        <v>2132582000</v>
      </c>
      <c r="H6" s="38">
        <v>2159520000</v>
      </c>
      <c r="I6" s="38">
        <v>2033334000</v>
      </c>
      <c r="J6" s="39">
        <v>2103721918</v>
      </c>
      <c r="K6" s="57">
        <v>1906143611</v>
      </c>
      <c r="L6" s="38"/>
      <c r="M6" s="38"/>
      <c r="N6" s="39"/>
      <c r="O6" s="28">
        <f t="shared" ref="O6:O34" si="2">+IFERROR((K6/G6-1),"n/a")</f>
        <v>-0.10618039024994119</v>
      </c>
      <c r="P6" s="43">
        <f t="shared" ref="P6:P34" si="3">+IFERROR((K6/J6-1),"n/a")</f>
        <v>-9.3918452486266291E-2</v>
      </c>
      <c r="Q6" s="4"/>
      <c r="R6" s="4"/>
      <c r="S6" s="53"/>
    </row>
    <row r="7" spans="2:20">
      <c r="B7" s="20" t="s">
        <v>13</v>
      </c>
      <c r="C7" s="8">
        <v>17493653943</v>
      </c>
      <c r="D7" s="8">
        <v>19720362165.100002</v>
      </c>
      <c r="E7" s="8">
        <v>21553144655.000004</v>
      </c>
      <c r="F7" s="18">
        <v>25977623236.89999</v>
      </c>
      <c r="G7" s="38">
        <v>20627657000</v>
      </c>
      <c r="H7" s="38">
        <v>22034020000</v>
      </c>
      <c r="I7" s="38">
        <v>23629402513</v>
      </c>
      <c r="J7" s="39">
        <v>24963172487</v>
      </c>
      <c r="K7" s="57">
        <v>20010483059</v>
      </c>
      <c r="L7" s="38"/>
      <c r="M7" s="38"/>
      <c r="N7" s="39"/>
      <c r="O7" s="28">
        <f t="shared" si="2"/>
        <v>-2.9919730631549624E-2</v>
      </c>
      <c r="P7" s="43">
        <f t="shared" si="3"/>
        <v>-0.19839984002751243</v>
      </c>
      <c r="Q7" s="4"/>
      <c r="R7" s="41"/>
      <c r="S7" s="4"/>
      <c r="T7" s="40"/>
    </row>
    <row r="8" spans="2:20">
      <c r="B8" s="12" t="s">
        <v>14</v>
      </c>
      <c r="C8" s="7">
        <f>SUM(C9:C10)</f>
        <v>757966749</v>
      </c>
      <c r="D8" s="7">
        <f t="shared" ref="D8:J8" si="4">SUM(D9:D10)</f>
        <v>837741781.6881218</v>
      </c>
      <c r="E8" s="7">
        <f t="shared" si="4"/>
        <v>772874506.00000381</v>
      </c>
      <c r="F8" s="17">
        <f t="shared" si="4"/>
        <v>457742780.31188202</v>
      </c>
      <c r="G8" s="7">
        <f t="shared" si="4"/>
        <v>700890127</v>
      </c>
      <c r="H8" s="7">
        <f t="shared" si="4"/>
        <v>780225971</v>
      </c>
      <c r="I8" s="7">
        <f t="shared" si="4"/>
        <v>829170536</v>
      </c>
      <c r="J8" s="17">
        <f t="shared" si="4"/>
        <v>586462176</v>
      </c>
      <c r="K8" s="56">
        <f>SUM(K9:K11)</f>
        <v>563268968</v>
      </c>
      <c r="L8" s="7"/>
      <c r="M8" s="7"/>
      <c r="N8" s="17"/>
      <c r="O8" s="28">
        <f t="shared" si="2"/>
        <v>-0.1963519725824302</v>
      </c>
      <c r="P8" s="43">
        <f t="shared" si="3"/>
        <v>-3.9547662149655882E-2</v>
      </c>
    </row>
    <row r="9" spans="2:20">
      <c r="B9" s="20" t="s">
        <v>12</v>
      </c>
      <c r="C9" s="8">
        <v>187267749</v>
      </c>
      <c r="D9" s="8">
        <v>314510781.6881218</v>
      </c>
      <c r="E9" s="8">
        <v>257857506.00000381</v>
      </c>
      <c r="F9" s="18">
        <v>-52352219.688117981</v>
      </c>
      <c r="G9" s="38">
        <v>138038928</v>
      </c>
      <c r="H9" s="38">
        <v>229037867</v>
      </c>
      <c r="I9" s="38">
        <v>276798339</v>
      </c>
      <c r="J9" s="39">
        <v>131000162</v>
      </c>
      <c r="K9" s="57">
        <v>102819255</v>
      </c>
      <c r="L9" s="38"/>
      <c r="M9" s="38"/>
      <c r="N9" s="39"/>
      <c r="O9" s="28">
        <f t="shared" si="2"/>
        <v>-0.25514304921290032</v>
      </c>
      <c r="P9" s="43">
        <f t="shared" si="3"/>
        <v>-0.21512116145322013</v>
      </c>
      <c r="Q9" s="4"/>
    </row>
    <row r="10" spans="2:20">
      <c r="B10" s="20" t="s">
        <v>13</v>
      </c>
      <c r="C10" s="8">
        <v>570699000</v>
      </c>
      <c r="D10" s="8">
        <v>523231000</v>
      </c>
      <c r="E10" s="8">
        <v>515017000</v>
      </c>
      <c r="F10" s="18">
        <v>510095000</v>
      </c>
      <c r="G10" s="38">
        <v>562851199</v>
      </c>
      <c r="H10" s="38">
        <v>551188104</v>
      </c>
      <c r="I10" s="38">
        <v>552372197</v>
      </c>
      <c r="J10" s="39">
        <v>455462014</v>
      </c>
      <c r="K10" s="57">
        <v>410787700</v>
      </c>
      <c r="L10" s="38"/>
      <c r="M10" s="38"/>
      <c r="N10" s="39"/>
      <c r="O10" s="28">
        <f t="shared" si="2"/>
        <v>-0.27016642990219519</v>
      </c>
      <c r="P10" s="43">
        <f t="shared" si="3"/>
        <v>-9.8085707757837315E-2</v>
      </c>
      <c r="Q10" s="4"/>
      <c r="R10" s="4"/>
      <c r="S10" s="4"/>
    </row>
    <row r="11" spans="2:20">
      <c r="B11" s="12" t="s">
        <v>15</v>
      </c>
      <c r="C11" s="8">
        <v>35361291</v>
      </c>
      <c r="D11" s="8">
        <v>37247740</v>
      </c>
      <c r="E11" s="8">
        <v>916543401</v>
      </c>
      <c r="F11" s="18">
        <v>-439152775</v>
      </c>
      <c r="G11" s="38">
        <v>343525857</v>
      </c>
      <c r="H11" s="38">
        <v>404237859</v>
      </c>
      <c r="I11" s="38">
        <v>215133996</v>
      </c>
      <c r="J11" s="39">
        <v>-511689120</v>
      </c>
      <c r="K11" s="57">
        <v>49662013</v>
      </c>
      <c r="L11" s="38"/>
      <c r="M11" s="38"/>
      <c r="N11" s="39"/>
      <c r="O11" s="28">
        <f t="shared" si="2"/>
        <v>-0.85543442512975087</v>
      </c>
      <c r="P11" s="43">
        <f t="shared" si="3"/>
        <v>-1.0970550497536473</v>
      </c>
    </row>
    <row r="12" spans="2:20">
      <c r="B12" s="11" t="s">
        <v>16</v>
      </c>
      <c r="C12" s="6">
        <f t="shared" ref="C12:J12" si="5">C13+C17+C18+C19+C20+C21</f>
        <v>21446188161</v>
      </c>
      <c r="D12" s="6">
        <f t="shared" si="5"/>
        <v>23910133112</v>
      </c>
      <c r="E12" s="6">
        <f t="shared" si="5"/>
        <v>25549578565</v>
      </c>
      <c r="F12" s="16">
        <f t="shared" si="5"/>
        <v>29111401362</v>
      </c>
      <c r="G12" s="6">
        <f t="shared" si="5"/>
        <v>24153601708</v>
      </c>
      <c r="H12" s="6">
        <f t="shared" si="5"/>
        <v>25415426591</v>
      </c>
      <c r="I12" s="6">
        <f t="shared" si="5"/>
        <v>27218310035</v>
      </c>
      <c r="J12" s="16">
        <f t="shared" si="5"/>
        <v>28527227912</v>
      </c>
      <c r="K12" s="55">
        <v>23945417955</v>
      </c>
      <c r="L12" s="6"/>
      <c r="M12" s="6"/>
      <c r="N12" s="16"/>
      <c r="O12" s="30">
        <f>+IFERROR((K12/G12-1),"n/a")</f>
        <v>-8.6191598055145313E-3</v>
      </c>
      <c r="P12" s="42">
        <f>+IFERROR((K12/J12-1),"n/a")</f>
        <v>-0.16061181868542718</v>
      </c>
    </row>
    <row r="13" spans="2:20">
      <c r="B13" s="12" t="s">
        <v>11</v>
      </c>
      <c r="C13" s="7">
        <f>SUM(C14:C16)</f>
        <v>17981577956</v>
      </c>
      <c r="D13" s="7">
        <f t="shared" ref="D13:J13" si="6">SUM(D14:D16)</f>
        <v>19890007448</v>
      </c>
      <c r="E13" s="7">
        <f t="shared" si="6"/>
        <v>21332485808</v>
      </c>
      <c r="F13" s="17">
        <f t="shared" si="6"/>
        <v>25360332744</v>
      </c>
      <c r="G13" s="7">
        <f t="shared" si="6"/>
        <v>20618812277</v>
      </c>
      <c r="H13" s="7">
        <f t="shared" si="6"/>
        <v>21680646723</v>
      </c>
      <c r="I13" s="7">
        <f t="shared" si="6"/>
        <v>22886374000</v>
      </c>
      <c r="J13" s="17">
        <f t="shared" si="6"/>
        <v>23995681700</v>
      </c>
      <c r="K13" s="56">
        <f>SUM(K14:K16)</f>
        <v>19832565004</v>
      </c>
      <c r="L13" s="7"/>
      <c r="M13" s="7"/>
      <c r="N13" s="17"/>
      <c r="O13" s="28">
        <f t="shared" si="2"/>
        <v>-3.8132520071345155E-2</v>
      </c>
      <c r="P13" s="43">
        <f t="shared" si="3"/>
        <v>-0.17349441237170604</v>
      </c>
    </row>
    <row r="14" spans="2:20">
      <c r="B14" s="20" t="s">
        <v>17</v>
      </c>
      <c r="C14" s="8">
        <v>2604913509</v>
      </c>
      <c r="D14" s="8">
        <v>2914097918</v>
      </c>
      <c r="E14" s="8">
        <v>2848186635</v>
      </c>
      <c r="F14" s="18">
        <v>3382230285</v>
      </c>
      <c r="G14" s="8">
        <v>2539106545</v>
      </c>
      <c r="H14" s="8">
        <v>2526677455</v>
      </c>
      <c r="I14" s="8">
        <v>2738812000</v>
      </c>
      <c r="J14" s="18">
        <v>2794224568</v>
      </c>
      <c r="K14" s="58">
        <v>2134161365</v>
      </c>
      <c r="L14" s="8"/>
      <c r="M14" s="8"/>
      <c r="N14" s="18"/>
      <c r="O14" s="28">
        <f t="shared" si="2"/>
        <v>-0.15948333511148505</v>
      </c>
      <c r="P14" s="43">
        <f t="shared" si="3"/>
        <v>-0.23622410688073225</v>
      </c>
    </row>
    <row r="15" spans="2:20">
      <c r="B15" s="20" t="s">
        <v>18</v>
      </c>
      <c r="C15" s="8">
        <v>1085328634</v>
      </c>
      <c r="D15" s="8">
        <v>1036065492</v>
      </c>
      <c r="E15" s="8">
        <v>1106492961</v>
      </c>
      <c r="F15" s="18">
        <v>1090039116</v>
      </c>
      <c r="G15" s="8">
        <v>1052341201</v>
      </c>
      <c r="H15" s="8">
        <v>914878799</v>
      </c>
      <c r="I15" s="8">
        <v>799798000</v>
      </c>
      <c r="J15" s="18">
        <v>843829176</v>
      </c>
      <c r="K15" s="58">
        <f>832935831+2189260</f>
        <v>835125091</v>
      </c>
      <c r="L15" s="8"/>
      <c r="M15" s="8"/>
      <c r="N15" s="18"/>
      <c r="O15" s="28">
        <f t="shared" si="2"/>
        <v>-0.20641224518586532</v>
      </c>
      <c r="P15" s="43">
        <f t="shared" si="3"/>
        <v>-1.0314984652770476E-2</v>
      </c>
    </row>
    <row r="16" spans="2:20">
      <c r="B16" s="20" t="s">
        <v>19</v>
      </c>
      <c r="C16" s="8">
        <v>14291335813</v>
      </c>
      <c r="D16" s="8">
        <v>15939844038</v>
      </c>
      <c r="E16" s="8">
        <v>17377806212</v>
      </c>
      <c r="F16" s="18">
        <v>20888063343</v>
      </c>
      <c r="G16" s="8">
        <v>17027364531</v>
      </c>
      <c r="H16" s="8">
        <v>18239090469</v>
      </c>
      <c r="I16" s="8">
        <v>19347764000</v>
      </c>
      <c r="J16" s="18">
        <v>20357627956</v>
      </c>
      <c r="K16" s="58">
        <v>16863278548</v>
      </c>
      <c r="L16" s="8"/>
      <c r="M16" s="8"/>
      <c r="N16" s="18"/>
      <c r="O16" s="28">
        <f t="shared" si="2"/>
        <v>-9.6366048134616245E-3</v>
      </c>
      <c r="P16" s="43">
        <f t="shared" si="3"/>
        <v>-0.17164816134534533</v>
      </c>
    </row>
    <row r="17" spans="2:16">
      <c r="B17" s="12" t="s">
        <v>37</v>
      </c>
      <c r="C17" s="7">
        <v>108163200</v>
      </c>
      <c r="D17" s="7">
        <v>81576970</v>
      </c>
      <c r="E17" s="7">
        <v>110007291</v>
      </c>
      <c r="F17" s="17">
        <v>100490145</v>
      </c>
      <c r="G17" s="7">
        <v>18729178</v>
      </c>
      <c r="H17" s="7">
        <v>127081143</v>
      </c>
      <c r="I17" s="7">
        <v>180747777</v>
      </c>
      <c r="J17" s="17">
        <v>32501453</v>
      </c>
      <c r="K17" s="56">
        <v>1789950</v>
      </c>
      <c r="L17" s="7"/>
      <c r="M17" s="7"/>
      <c r="N17" s="17"/>
      <c r="O17" s="28">
        <f t="shared" si="2"/>
        <v>-0.90442986873209275</v>
      </c>
      <c r="P17" s="43">
        <f t="shared" si="3"/>
        <v>-0.94492707756788596</v>
      </c>
    </row>
    <row r="18" spans="2:16">
      <c r="B18" s="12" t="s">
        <v>20</v>
      </c>
      <c r="C18" s="7">
        <v>1641838169</v>
      </c>
      <c r="D18" s="7">
        <v>1768123480</v>
      </c>
      <c r="E18" s="7">
        <v>1837836101</v>
      </c>
      <c r="F18" s="17">
        <v>1420758035</v>
      </c>
      <c r="G18" s="7">
        <v>1593881855</v>
      </c>
      <c r="H18" s="7">
        <v>1606296530</v>
      </c>
      <c r="I18" s="7">
        <v>2055226959</v>
      </c>
      <c r="J18" s="17">
        <v>2221671190</v>
      </c>
      <c r="K18" s="56">
        <v>2016412034</v>
      </c>
      <c r="L18" s="7"/>
      <c r="M18" s="7"/>
      <c r="N18" s="17"/>
      <c r="O18" s="28">
        <f t="shared" si="2"/>
        <v>0.26509504307017795</v>
      </c>
      <c r="P18" s="43">
        <f t="shared" si="3"/>
        <v>-9.2389529523493552E-2</v>
      </c>
    </row>
    <row r="19" spans="2:16">
      <c r="B19" s="12" t="s">
        <v>21</v>
      </c>
      <c r="C19" s="7">
        <v>392892287</v>
      </c>
      <c r="D19" s="7">
        <v>416566812</v>
      </c>
      <c r="E19" s="7">
        <v>539118275</v>
      </c>
      <c r="F19" s="17">
        <v>447892621</v>
      </c>
      <c r="G19" s="7">
        <v>403253310</v>
      </c>
      <c r="H19" s="7">
        <v>479182349</v>
      </c>
      <c r="I19" s="7">
        <v>468006672</v>
      </c>
      <c r="J19" s="17">
        <v>403328038</v>
      </c>
      <c r="K19" s="56">
        <v>381543121</v>
      </c>
      <c r="L19" s="7"/>
      <c r="M19" s="7"/>
      <c r="N19" s="17"/>
      <c r="O19" s="28">
        <f t="shared" si="2"/>
        <v>-5.3837596522146369E-2</v>
      </c>
      <c r="P19" s="43">
        <f t="shared" si="3"/>
        <v>-5.4012900040438017E-2</v>
      </c>
    </row>
    <row r="20" spans="2:16">
      <c r="B20" s="12" t="s">
        <v>22</v>
      </c>
      <c r="C20" s="7">
        <v>617697472</v>
      </c>
      <c r="D20" s="7">
        <v>741761138</v>
      </c>
      <c r="E20" s="7">
        <v>542453545</v>
      </c>
      <c r="F20" s="17">
        <v>691554616</v>
      </c>
      <c r="G20" s="7">
        <v>610411838</v>
      </c>
      <c r="H20" s="7">
        <v>636802536</v>
      </c>
      <c r="I20" s="7">
        <v>789727734</v>
      </c>
      <c r="J20" s="17">
        <v>842792830</v>
      </c>
      <c r="K20" s="56">
        <f>473653181+313417081</f>
        <v>787070262</v>
      </c>
      <c r="L20" s="7"/>
      <c r="M20" s="7"/>
      <c r="N20" s="17"/>
      <c r="O20" s="28">
        <f t="shared" si="2"/>
        <v>0.28940858122741719</v>
      </c>
      <c r="P20" s="43">
        <f t="shared" si="3"/>
        <v>-6.6116566274062816E-2</v>
      </c>
    </row>
    <row r="21" spans="2:16">
      <c r="B21" s="12" t="s">
        <v>15</v>
      </c>
      <c r="C21" s="7">
        <v>704019077</v>
      </c>
      <c r="D21" s="7">
        <v>1012097264</v>
      </c>
      <c r="E21" s="7">
        <v>1187677545</v>
      </c>
      <c r="F21" s="17">
        <v>1090373201</v>
      </c>
      <c r="G21" s="7">
        <v>908513250</v>
      </c>
      <c r="H21" s="7">
        <v>885417310</v>
      </c>
      <c r="I21" s="7">
        <v>838226893</v>
      </c>
      <c r="J21" s="17">
        <v>1031252701</v>
      </c>
      <c r="K21" s="56">
        <v>926037584</v>
      </c>
      <c r="L21" s="7"/>
      <c r="M21" s="7"/>
      <c r="N21" s="17"/>
      <c r="O21" s="28">
        <f t="shared" si="2"/>
        <v>1.9289024128156695E-2</v>
      </c>
      <c r="P21" s="43">
        <f t="shared" si="3"/>
        <v>-0.10202651289831632</v>
      </c>
    </row>
    <row r="22" spans="2:16">
      <c r="B22" s="11" t="s">
        <v>23</v>
      </c>
      <c r="C22" s="6">
        <f t="shared" ref="C22:J22" si="7">C4-C12</f>
        <v>779448575.00000381</v>
      </c>
      <c r="D22" s="6">
        <f t="shared" si="7"/>
        <v>528288019</v>
      </c>
      <c r="E22" s="6">
        <f t="shared" si="7"/>
        <v>740573087</v>
      </c>
      <c r="F22" s="16">
        <f t="shared" si="7"/>
        <v>454153593</v>
      </c>
      <c r="G22" s="6">
        <f t="shared" si="7"/>
        <v>-348946724</v>
      </c>
      <c r="H22" s="6">
        <f t="shared" si="7"/>
        <v>-37422761</v>
      </c>
      <c r="I22" s="6">
        <f t="shared" si="7"/>
        <v>-511268990</v>
      </c>
      <c r="J22" s="16">
        <f t="shared" si="7"/>
        <v>-1385560451</v>
      </c>
      <c r="K22" s="55">
        <f>K4-K12</f>
        <v>-1465522317</v>
      </c>
      <c r="L22" s="6"/>
      <c r="M22" s="6"/>
      <c r="N22" s="16"/>
      <c r="O22" s="30">
        <f>+IFERROR((K22/G22-1),"n/a")</f>
        <v>3.1998454669544341</v>
      </c>
      <c r="P22" s="42">
        <f>+IFERROR((K22/J22-1),"n/a")</f>
        <v>5.7710846136153071E-2</v>
      </c>
    </row>
    <row r="23" spans="2:16">
      <c r="B23" s="21" t="s">
        <v>24</v>
      </c>
      <c r="C23" s="22">
        <f t="shared" ref="C23:K23" si="8">C22/C4</f>
        <v>3.5069797291228604E-2</v>
      </c>
      <c r="D23" s="22">
        <f t="shared" si="8"/>
        <v>2.1617109230099549E-2</v>
      </c>
      <c r="E23" s="22">
        <f t="shared" si="8"/>
        <v>2.8169220809483673E-2</v>
      </c>
      <c r="F23" s="23">
        <f t="shared" si="8"/>
        <v>1.5360902025726918E-2</v>
      </c>
      <c r="G23" s="22">
        <f t="shared" si="8"/>
        <v>-1.4658759987680568E-2</v>
      </c>
      <c r="H23" s="22">
        <f t="shared" si="8"/>
        <v>-1.4746140496582941E-3</v>
      </c>
      <c r="I23" s="22">
        <f t="shared" si="8"/>
        <v>-1.9143602959928726E-2</v>
      </c>
      <c r="J23" s="23">
        <f t="shared" si="8"/>
        <v>-5.1049201490325491E-2</v>
      </c>
      <c r="K23" s="59">
        <f t="shared" si="8"/>
        <v>-6.5192576540376912E-2</v>
      </c>
      <c r="L23" s="22"/>
      <c r="M23" s="22"/>
      <c r="N23" s="23"/>
      <c r="O23" s="28">
        <f t="shared" si="2"/>
        <v>3.4473459279751966</v>
      </c>
      <c r="P23" s="43">
        <f t="shared" si="3"/>
        <v>0.27705379589006451</v>
      </c>
    </row>
    <row r="24" spans="2:16">
      <c r="B24" s="13" t="s">
        <v>25</v>
      </c>
      <c r="C24" s="7">
        <f>SUM(C25:C27)</f>
        <v>212145617</v>
      </c>
      <c r="D24" s="7">
        <f t="shared" ref="D24:J24" si="9">SUM(D25:D27)</f>
        <v>1712282070</v>
      </c>
      <c r="E24" s="7">
        <f t="shared" si="9"/>
        <v>2367824246</v>
      </c>
      <c r="F24" s="17">
        <f t="shared" si="9"/>
        <v>-2800863984</v>
      </c>
      <c r="G24" s="7">
        <f t="shared" si="9"/>
        <v>502305098</v>
      </c>
      <c r="H24" s="7">
        <f t="shared" si="9"/>
        <v>400781125</v>
      </c>
      <c r="I24" s="7">
        <f t="shared" si="9"/>
        <v>789824444</v>
      </c>
      <c r="J24" s="17">
        <f t="shared" si="9"/>
        <v>-441677318</v>
      </c>
      <c r="K24" s="56">
        <f>SUM(K25:K27)</f>
        <v>1086743562</v>
      </c>
      <c r="L24" s="7"/>
      <c r="M24" s="7"/>
      <c r="N24" s="17"/>
      <c r="O24" s="28">
        <f t="shared" si="2"/>
        <v>1.1635129054573121</v>
      </c>
      <c r="P24" s="43">
        <f t="shared" si="3"/>
        <v>-3.4604921233469361</v>
      </c>
    </row>
    <row r="25" spans="2:16">
      <c r="B25" s="24" t="s">
        <v>26</v>
      </c>
      <c r="C25" s="8">
        <v>302807</v>
      </c>
      <c r="D25" s="8">
        <v>2527528</v>
      </c>
      <c r="E25" s="8">
        <v>123430243</v>
      </c>
      <c r="F25" s="18">
        <v>-102685964</v>
      </c>
      <c r="G25" s="8">
        <v>7604365</v>
      </c>
      <c r="H25" s="8">
        <v>34376302</v>
      </c>
      <c r="I25" s="8">
        <v>389767</v>
      </c>
      <c r="J25" s="18">
        <v>153049</v>
      </c>
      <c r="K25" s="58">
        <v>123374</v>
      </c>
      <c r="L25" s="8"/>
      <c r="M25" s="8"/>
      <c r="N25" s="18"/>
      <c r="O25" s="28">
        <f t="shared" si="2"/>
        <v>-0.98377589713276514</v>
      </c>
      <c r="P25" s="43">
        <f t="shared" si="3"/>
        <v>-0.19389215218655464</v>
      </c>
    </row>
    <row r="26" spans="2:16">
      <c r="B26" s="24" t="s">
        <v>27</v>
      </c>
      <c r="C26" s="8">
        <v>314184313</v>
      </c>
      <c r="D26" s="8">
        <v>1693753550</v>
      </c>
      <c r="E26" s="8">
        <v>2296178030</v>
      </c>
      <c r="F26" s="18">
        <v>-2720195295</v>
      </c>
      <c r="G26" s="25">
        <v>796586711</v>
      </c>
      <c r="H26" s="8">
        <v>515097525</v>
      </c>
      <c r="I26" s="8">
        <v>848056450</v>
      </c>
      <c r="J26" s="18">
        <v>-628404271</v>
      </c>
      <c r="K26" s="58">
        <v>1171407900</v>
      </c>
      <c r="L26" s="8"/>
      <c r="M26" s="8"/>
      <c r="N26" s="18"/>
      <c r="O26" s="28">
        <f t="shared" si="2"/>
        <v>0.47053407221602517</v>
      </c>
      <c r="P26" s="43">
        <f t="shared" si="3"/>
        <v>-2.864099201833719</v>
      </c>
    </row>
    <row r="27" spans="2:16">
      <c r="B27" s="24" t="s">
        <v>28</v>
      </c>
      <c r="C27" s="8">
        <v>-102341503</v>
      </c>
      <c r="D27" s="8">
        <v>16000992</v>
      </c>
      <c r="E27" s="8">
        <v>-51784027</v>
      </c>
      <c r="F27" s="18">
        <v>22017275</v>
      </c>
      <c r="G27" s="8">
        <v>-301885978</v>
      </c>
      <c r="H27" s="8">
        <v>-148692702</v>
      </c>
      <c r="I27" s="8">
        <v>-58621773</v>
      </c>
      <c r="J27" s="18">
        <v>186573904</v>
      </c>
      <c r="K27" s="58">
        <v>-84787712</v>
      </c>
      <c r="L27" s="8"/>
      <c r="M27" s="8"/>
      <c r="N27" s="18"/>
      <c r="O27" s="28">
        <f t="shared" si="2"/>
        <v>-0.71913994627468258</v>
      </c>
      <c r="P27" s="43">
        <f t="shared" si="3"/>
        <v>-1.4544457192684352</v>
      </c>
    </row>
    <row r="28" spans="2:16">
      <c r="B28" s="13" t="s">
        <v>29</v>
      </c>
      <c r="C28" s="7">
        <f t="shared" ref="C28:J28" si="10">SUM(C29:C30)</f>
        <v>520592685</v>
      </c>
      <c r="D28" s="7">
        <f t="shared" si="10"/>
        <v>1768859048</v>
      </c>
      <c r="E28" s="7">
        <f t="shared" si="10"/>
        <v>2891282287</v>
      </c>
      <c r="F28" s="17">
        <f t="shared" si="10"/>
        <v>-583149804</v>
      </c>
      <c r="G28" s="7">
        <f t="shared" si="10"/>
        <v>973382484</v>
      </c>
      <c r="H28" s="7">
        <f t="shared" si="10"/>
        <v>778550288</v>
      </c>
      <c r="I28" s="7">
        <f t="shared" si="10"/>
        <v>915397914</v>
      </c>
      <c r="J28" s="17">
        <f t="shared" si="10"/>
        <v>644042938</v>
      </c>
      <c r="K28" s="56">
        <f>SUM(K29:K30)</f>
        <v>1274998533</v>
      </c>
      <c r="L28" s="7"/>
      <c r="M28" s="7"/>
      <c r="N28" s="17"/>
      <c r="O28" s="28">
        <f t="shared" si="2"/>
        <v>0.30986385512151871</v>
      </c>
      <c r="P28" s="43">
        <f t="shared" si="3"/>
        <v>0.97967939367421497</v>
      </c>
    </row>
    <row r="29" spans="2:16">
      <c r="B29" s="24" t="s">
        <v>30</v>
      </c>
      <c r="C29" s="8">
        <v>38417287</v>
      </c>
      <c r="D29" s="8">
        <v>4150176</v>
      </c>
      <c r="E29" s="8">
        <v>263686967</v>
      </c>
      <c r="F29" s="18">
        <v>1762758299</v>
      </c>
      <c r="G29" s="8">
        <v>473954</v>
      </c>
      <c r="H29" s="8">
        <v>935044</v>
      </c>
      <c r="I29" s="8">
        <v>25833499</v>
      </c>
      <c r="J29" s="18">
        <v>31069075</v>
      </c>
      <c r="K29" s="58">
        <v>140833</v>
      </c>
      <c r="L29" s="8"/>
      <c r="M29" s="8"/>
      <c r="N29" s="18"/>
      <c r="O29" s="28">
        <f t="shared" si="2"/>
        <v>-0.70285512940074346</v>
      </c>
      <c r="P29" s="43">
        <f t="shared" si="3"/>
        <v>-0.99546710032403607</v>
      </c>
    </row>
    <row r="30" spans="2:16">
      <c r="B30" s="24" t="s">
        <v>31</v>
      </c>
      <c r="C30" s="8">
        <v>482175398</v>
      </c>
      <c r="D30" s="8">
        <v>1764708872</v>
      </c>
      <c r="E30" s="8">
        <v>2627595320</v>
      </c>
      <c r="F30" s="18">
        <v>-2345908103</v>
      </c>
      <c r="G30" s="8">
        <v>972908530</v>
      </c>
      <c r="H30" s="8">
        <v>777615244</v>
      </c>
      <c r="I30" s="8">
        <v>889564415</v>
      </c>
      <c r="J30" s="18">
        <v>612973863</v>
      </c>
      <c r="K30" s="58">
        <v>1274857700</v>
      </c>
      <c r="L30" s="8"/>
      <c r="M30" s="8"/>
      <c r="N30" s="18"/>
      <c r="O30" s="28">
        <f t="shared" si="2"/>
        <v>0.31035720285030299</v>
      </c>
      <c r="P30" s="43">
        <f t="shared" si="3"/>
        <v>1.0797912879362035</v>
      </c>
    </row>
    <row r="31" spans="2:16">
      <c r="B31" s="11" t="s">
        <v>32</v>
      </c>
      <c r="C31" s="6">
        <f t="shared" ref="C31:J31" si="11">C22+C24-C28</f>
        <v>471001507.00000381</v>
      </c>
      <c r="D31" s="6">
        <f t="shared" si="11"/>
        <v>471711041</v>
      </c>
      <c r="E31" s="6">
        <f t="shared" si="11"/>
        <v>217115046</v>
      </c>
      <c r="F31" s="16">
        <f t="shared" si="11"/>
        <v>-1763560587</v>
      </c>
      <c r="G31" s="6">
        <f t="shared" si="11"/>
        <v>-820024110</v>
      </c>
      <c r="H31" s="6">
        <f t="shared" si="11"/>
        <v>-415191924</v>
      </c>
      <c r="I31" s="6">
        <f t="shared" si="11"/>
        <v>-636842460</v>
      </c>
      <c r="J31" s="16">
        <f t="shared" si="11"/>
        <v>-2471280707</v>
      </c>
      <c r="K31" s="55">
        <f>K22+K24-K28</f>
        <v>-1653777288</v>
      </c>
      <c r="L31" s="6"/>
      <c r="M31" s="6"/>
      <c r="N31" s="16"/>
      <c r="O31" s="30">
        <f>+IFERROR((K31/G31-1),"n/a")</f>
        <v>1.0167422735899803</v>
      </c>
      <c r="P31" s="42">
        <f>+IFERROR((K31/J31-1),"n/a")</f>
        <v>-0.33080152193329937</v>
      </c>
    </row>
    <row r="32" spans="2:16">
      <c r="B32" s="21" t="s">
        <v>33</v>
      </c>
      <c r="C32" s="8">
        <v>120635461</v>
      </c>
      <c r="D32" s="8">
        <v>-145783181</v>
      </c>
      <c r="E32" s="8">
        <v>-73282407</v>
      </c>
      <c r="F32" s="18">
        <v>-167114043</v>
      </c>
      <c r="G32" s="8">
        <v>-223473428</v>
      </c>
      <c r="H32" s="8">
        <v>-195097289</v>
      </c>
      <c r="I32" s="8">
        <v>-245612625</v>
      </c>
      <c r="J32" s="18">
        <v>-785163969</v>
      </c>
      <c r="K32" s="58">
        <v>-454959834</v>
      </c>
      <c r="L32" s="8"/>
      <c r="M32" s="8"/>
      <c r="N32" s="18"/>
      <c r="O32" s="28">
        <f t="shared" si="2"/>
        <v>1.0358565135538171</v>
      </c>
      <c r="P32" s="43">
        <f t="shared" si="3"/>
        <v>-0.42055436575949146</v>
      </c>
    </row>
    <row r="33" spans="2:16">
      <c r="B33" s="11" t="s">
        <v>34</v>
      </c>
      <c r="C33" s="6">
        <f>C31-C32</f>
        <v>350366046.00000381</v>
      </c>
      <c r="D33" s="6">
        <f t="shared" ref="D33:J33" si="12">D31-D32</f>
        <v>617494222</v>
      </c>
      <c r="E33" s="6">
        <f t="shared" si="12"/>
        <v>290397453</v>
      </c>
      <c r="F33" s="16">
        <f t="shared" si="12"/>
        <v>-1596446544</v>
      </c>
      <c r="G33" s="6">
        <f t="shared" si="12"/>
        <v>-596550682</v>
      </c>
      <c r="H33" s="6">
        <f t="shared" si="12"/>
        <v>-220094635</v>
      </c>
      <c r="I33" s="6">
        <f t="shared" si="12"/>
        <v>-391229835</v>
      </c>
      <c r="J33" s="16">
        <f t="shared" si="12"/>
        <v>-1686116738</v>
      </c>
      <c r="K33" s="55">
        <f>K31-K32</f>
        <v>-1198817454</v>
      </c>
      <c r="L33" s="6"/>
      <c r="M33" s="6"/>
      <c r="N33" s="16"/>
      <c r="O33" s="30">
        <f>+IFERROR((K33/G33-1),"n/a")</f>
        <v>1.0095819017100713</v>
      </c>
      <c r="P33" s="42">
        <f>+IFERROR((K33/J33-1),"n/a")</f>
        <v>-0.2890068481130279</v>
      </c>
    </row>
    <row r="34" spans="2:16">
      <c r="B34" s="21" t="s">
        <v>35</v>
      </c>
      <c r="C34" s="8">
        <v>20527642</v>
      </c>
      <c r="D34" s="8">
        <v>7409560</v>
      </c>
      <c r="E34" s="8">
        <v>10179135</v>
      </c>
      <c r="F34" s="18">
        <v>-11986223</v>
      </c>
      <c r="G34" s="8">
        <v>3010122</v>
      </c>
      <c r="H34" s="8">
        <v>-20188158</v>
      </c>
      <c r="I34" s="8">
        <v>2568072</v>
      </c>
      <c r="J34" s="18">
        <v>-4400037</v>
      </c>
      <c r="K34" s="58">
        <v>4568128</v>
      </c>
      <c r="L34" s="8"/>
      <c r="M34" s="8"/>
      <c r="N34" s="18"/>
      <c r="O34" s="28">
        <f t="shared" si="2"/>
        <v>0.51758898808752596</v>
      </c>
      <c r="P34" s="43">
        <f t="shared" si="3"/>
        <v>-2.038202178754406</v>
      </c>
    </row>
    <row r="35" spans="2:16">
      <c r="B35" s="14" t="s">
        <v>36</v>
      </c>
      <c r="C35" s="9">
        <f>C33+C34</f>
        <v>370893688.00000381</v>
      </c>
      <c r="D35" s="9">
        <f t="shared" ref="D35:J35" si="13">D33+D34</f>
        <v>624903782</v>
      </c>
      <c r="E35" s="9">
        <f t="shared" si="13"/>
        <v>300576588</v>
      </c>
      <c r="F35" s="19">
        <f t="shared" si="13"/>
        <v>-1608432767</v>
      </c>
      <c r="G35" s="9">
        <f t="shared" si="13"/>
        <v>-593540560</v>
      </c>
      <c r="H35" s="9">
        <f t="shared" si="13"/>
        <v>-240282793</v>
      </c>
      <c r="I35" s="9">
        <f t="shared" si="13"/>
        <v>-388661763</v>
      </c>
      <c r="J35" s="19">
        <f t="shared" si="13"/>
        <v>-1690516775</v>
      </c>
      <c r="K35" s="60">
        <f>K33+K34</f>
        <v>-1194249326</v>
      </c>
      <c r="L35" s="9"/>
      <c r="M35" s="9"/>
      <c r="N35" s="19"/>
      <c r="O35" s="32">
        <f>+IFERROR((K35/G35-1),"n/a")</f>
        <v>1.012077028063592</v>
      </c>
      <c r="P35" s="44">
        <f>+IFERROR((K35/J35-1),"n/a")</f>
        <v>-0.29355961226708327</v>
      </c>
    </row>
    <row r="36" spans="2:16">
      <c r="E36" s="1"/>
    </row>
    <row r="37" spans="2:16">
      <c r="C37" s="2"/>
      <c r="E37" s="2"/>
      <c r="K37" s="40"/>
    </row>
  </sheetData>
  <mergeCells count="1">
    <mergeCell ref="B1:P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2F9E2-9301-4869-B72A-B5860D597E3E}">
  <dimension ref="B1:P33"/>
  <sheetViews>
    <sheetView showGridLines="0" zoomScaleNormal="100" workbookViewId="0"/>
  </sheetViews>
  <sheetFormatPr defaultRowHeight="17.399999999999999" outlineLevelCol="1"/>
  <cols>
    <col min="1" max="1" width="1.69921875" customWidth="1"/>
    <col min="2" max="2" width="25.5" bestFit="1" customWidth="1"/>
    <col min="3" max="6" width="10.69921875" hidden="1" customWidth="1" outlineLevel="1"/>
    <col min="7" max="7" width="10.69921875" customWidth="1" collapsed="1"/>
    <col min="8" max="11" width="10.69921875" customWidth="1"/>
    <col min="12" max="14" width="10.69921875" hidden="1" customWidth="1"/>
    <col min="15" max="16" width="10.69921875" customWidth="1"/>
  </cols>
  <sheetData>
    <row r="1" spans="2:16" ht="46.95" customHeight="1">
      <c r="B1" s="52" t="s">
        <v>69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2:16">
      <c r="J2" s="3"/>
      <c r="K2" s="3"/>
      <c r="L2" s="3"/>
      <c r="M2" s="3"/>
      <c r="N2" s="3"/>
      <c r="O2" s="3"/>
    </row>
    <row r="3" spans="2:16">
      <c r="B3" s="10" t="s">
        <v>1</v>
      </c>
      <c r="C3" s="5" t="s">
        <v>2</v>
      </c>
      <c r="D3" s="5" t="s">
        <v>3</v>
      </c>
      <c r="E3" s="5" t="s">
        <v>4</v>
      </c>
      <c r="F3" s="15" t="s">
        <v>5</v>
      </c>
      <c r="G3" s="5" t="s">
        <v>6</v>
      </c>
      <c r="H3" s="5" t="s">
        <v>7</v>
      </c>
      <c r="I3" s="5" t="s">
        <v>8</v>
      </c>
      <c r="J3" s="15" t="s">
        <v>9</v>
      </c>
      <c r="K3" s="5" t="s">
        <v>73</v>
      </c>
      <c r="L3" s="5"/>
      <c r="M3" s="5"/>
      <c r="N3" s="5"/>
      <c r="O3" s="50" t="s">
        <v>40</v>
      </c>
      <c r="P3" s="46" t="s">
        <v>41</v>
      </c>
    </row>
    <row r="4" spans="2:16">
      <c r="B4" s="11" t="s">
        <v>43</v>
      </c>
      <c r="C4" s="6">
        <f>SUM(C5:C8)</f>
        <v>32856826503</v>
      </c>
      <c r="D4" s="6">
        <f t="shared" ref="D4:J4" si="0">SUM(D5:D8)</f>
        <v>30111031420</v>
      </c>
      <c r="E4" s="6">
        <f t="shared" si="0"/>
        <v>26550610018</v>
      </c>
      <c r="F4" s="16">
        <f t="shared" si="0"/>
        <v>29055394343</v>
      </c>
      <c r="G4" s="6">
        <f t="shared" si="0"/>
        <v>25047846429</v>
      </c>
      <c r="H4" s="6">
        <f t="shared" si="0"/>
        <v>23366903269</v>
      </c>
      <c r="I4" s="6">
        <f t="shared" si="0"/>
        <v>23366915756</v>
      </c>
      <c r="J4" s="16">
        <f t="shared" si="0"/>
        <v>23219781223</v>
      </c>
      <c r="K4" s="6">
        <v>20662888167</v>
      </c>
      <c r="L4" s="6"/>
      <c r="M4" s="6"/>
      <c r="N4" s="6"/>
      <c r="O4" s="47">
        <f t="shared" ref="O4:O31" si="1">+IFERROR((K4/G4-1),"n/a")</f>
        <v>-0.17506328435977492</v>
      </c>
      <c r="P4" s="31">
        <f t="shared" ref="P4:P31" si="2">+IFERROR((K4/J4-1),"n/a")</f>
        <v>-0.11011701753103986</v>
      </c>
    </row>
    <row r="5" spans="2:16">
      <c r="B5" s="24" t="s">
        <v>44</v>
      </c>
      <c r="C5" s="34">
        <v>16622776506</v>
      </c>
      <c r="D5" s="34">
        <v>17471566909</v>
      </c>
      <c r="E5" s="34">
        <v>13538910076</v>
      </c>
      <c r="F5" s="35">
        <v>14623084499</v>
      </c>
      <c r="G5" s="34">
        <v>13260901438</v>
      </c>
      <c r="H5" s="34">
        <v>10605376768</v>
      </c>
      <c r="I5" s="34">
        <v>8703851254</v>
      </c>
      <c r="J5" s="35">
        <v>9274281893</v>
      </c>
      <c r="K5" s="34">
        <v>7001958043</v>
      </c>
      <c r="L5" s="34"/>
      <c r="M5" s="34"/>
      <c r="N5" s="34"/>
      <c r="O5" s="49">
        <f t="shared" si="1"/>
        <v>-0.47198476093522412</v>
      </c>
      <c r="P5" s="29">
        <f t="shared" si="2"/>
        <v>-0.2450134550810984</v>
      </c>
    </row>
    <row r="6" spans="2:16">
      <c r="B6" s="24" t="s">
        <v>59</v>
      </c>
      <c r="C6" s="34">
        <v>8844000000</v>
      </c>
      <c r="D6" s="34">
        <v>3844000000</v>
      </c>
      <c r="E6" s="34">
        <v>3844000000</v>
      </c>
      <c r="F6" s="35">
        <v>4144000000</v>
      </c>
      <c r="G6" s="34">
        <v>4144000000</v>
      </c>
      <c r="H6" s="34">
        <v>4144000000</v>
      </c>
      <c r="I6" s="34">
        <v>4144000000</v>
      </c>
      <c r="J6" s="35">
        <v>2644000000</v>
      </c>
      <c r="K6" s="34">
        <v>2644000000</v>
      </c>
      <c r="L6" s="34"/>
      <c r="M6" s="34"/>
      <c r="N6" s="34"/>
      <c r="O6" s="49">
        <f t="shared" si="1"/>
        <v>-0.36196911196911197</v>
      </c>
      <c r="P6" s="29">
        <f t="shared" si="2"/>
        <v>0</v>
      </c>
    </row>
    <row r="7" spans="2:16">
      <c r="B7" s="24" t="s">
        <v>70</v>
      </c>
      <c r="C7" s="34">
        <v>6354953029</v>
      </c>
      <c r="D7" s="34">
        <v>7859302904</v>
      </c>
      <c r="E7" s="34">
        <v>8349310222</v>
      </c>
      <c r="F7" s="35">
        <v>8884302665</v>
      </c>
      <c r="G7" s="34">
        <v>6059639679</v>
      </c>
      <c r="H7" s="34">
        <v>7180375391</v>
      </c>
      <c r="I7" s="34">
        <v>9134947127</v>
      </c>
      <c r="J7" s="35">
        <v>8353403982</v>
      </c>
      <c r="K7" s="34">
        <v>6593079692</v>
      </c>
      <c r="L7" s="34"/>
      <c r="M7" s="34"/>
      <c r="N7" s="34"/>
      <c r="O7" s="49">
        <f t="shared" si="1"/>
        <v>8.8031639050860422E-2</v>
      </c>
      <c r="P7" s="29">
        <f t="shared" si="2"/>
        <v>-0.21073137295803779</v>
      </c>
    </row>
    <row r="8" spans="2:16">
      <c r="B8" s="24" t="s">
        <v>45</v>
      </c>
      <c r="C8" s="34">
        <v>1035096968</v>
      </c>
      <c r="D8" s="34">
        <v>936161607</v>
      </c>
      <c r="E8" s="34">
        <v>818389720</v>
      </c>
      <c r="F8" s="35">
        <v>1404007179</v>
      </c>
      <c r="G8" s="34">
        <v>1583305312</v>
      </c>
      <c r="H8" s="34">
        <v>1437151110</v>
      </c>
      <c r="I8" s="34">
        <v>1384117375</v>
      </c>
      <c r="J8" s="35">
        <v>2948095348</v>
      </c>
      <c r="K8" s="34">
        <f>K4-SUM(K5:K7)</f>
        <v>4423850432</v>
      </c>
      <c r="L8" s="34"/>
      <c r="M8" s="34"/>
      <c r="N8" s="34"/>
      <c r="O8" s="49">
        <f t="shared" si="1"/>
        <v>1.794060247553821</v>
      </c>
      <c r="P8" s="29">
        <f t="shared" si="2"/>
        <v>0.50057915698050892</v>
      </c>
    </row>
    <row r="9" spans="2:16">
      <c r="B9" s="11" t="s">
        <v>46</v>
      </c>
      <c r="C9" s="6">
        <f t="shared" ref="C9:J9" si="3">SUM(C10:C14)</f>
        <v>43714864019</v>
      </c>
      <c r="D9" s="6">
        <f t="shared" si="3"/>
        <v>45285753727</v>
      </c>
      <c r="E9" s="6">
        <f t="shared" si="3"/>
        <v>51801021581</v>
      </c>
      <c r="F9" s="6">
        <f t="shared" si="3"/>
        <v>52682658261</v>
      </c>
      <c r="G9" s="45">
        <f t="shared" si="3"/>
        <v>53160329314</v>
      </c>
      <c r="H9" s="6">
        <f t="shared" si="3"/>
        <v>52851264845</v>
      </c>
      <c r="I9" s="6">
        <f t="shared" si="3"/>
        <v>52952951173</v>
      </c>
      <c r="J9" s="16">
        <f t="shared" si="3"/>
        <v>50262370005</v>
      </c>
      <c r="K9" s="6">
        <v>50169995710</v>
      </c>
      <c r="L9" s="6"/>
      <c r="M9" s="6"/>
      <c r="N9" s="6"/>
      <c r="O9" s="47">
        <f t="shared" si="1"/>
        <v>-5.6251224222805596E-2</v>
      </c>
      <c r="P9" s="31">
        <f t="shared" si="2"/>
        <v>-1.8378420076652358E-3</v>
      </c>
    </row>
    <row r="10" spans="2:16">
      <c r="B10" s="24" t="s">
        <v>71</v>
      </c>
      <c r="C10" s="34">
        <v>3505326558</v>
      </c>
      <c r="D10" s="34">
        <v>3528737110</v>
      </c>
      <c r="E10" s="34">
        <v>6987132218</v>
      </c>
      <c r="F10" s="35">
        <v>5217569286</v>
      </c>
      <c r="G10" s="34">
        <v>4918693430</v>
      </c>
      <c r="H10" s="34">
        <v>4770712099</v>
      </c>
      <c r="I10" s="34">
        <v>4714658398</v>
      </c>
      <c r="J10" s="35">
        <v>4896832265</v>
      </c>
      <c r="K10" s="34">
        <v>4816612681</v>
      </c>
      <c r="L10" s="34"/>
      <c r="M10" s="34"/>
      <c r="N10" s="34"/>
      <c r="O10" s="49">
        <f t="shared" si="1"/>
        <v>-2.0753631112154891E-2</v>
      </c>
      <c r="P10" s="29">
        <f t="shared" si="2"/>
        <v>-1.6381934209461879E-2</v>
      </c>
    </row>
    <row r="11" spans="2:16">
      <c r="B11" s="24" t="s">
        <v>60</v>
      </c>
      <c r="C11" s="34">
        <v>6502944335</v>
      </c>
      <c r="D11" s="34">
        <v>6497478497</v>
      </c>
      <c r="E11" s="34">
        <v>30918792281</v>
      </c>
      <c r="F11" s="35">
        <v>30904175138</v>
      </c>
      <c r="G11" s="34">
        <v>30889557995</v>
      </c>
      <c r="H11" s="34">
        <v>30874940852</v>
      </c>
      <c r="I11" s="34">
        <v>30860323709</v>
      </c>
      <c r="J11" s="35">
        <v>30845706566</v>
      </c>
      <c r="K11" s="34">
        <v>30831089423</v>
      </c>
      <c r="L11" s="34"/>
      <c r="M11" s="34"/>
      <c r="N11" s="34"/>
      <c r="O11" s="49">
        <f t="shared" si="1"/>
        <v>-1.8928264369941772E-3</v>
      </c>
      <c r="P11" s="29">
        <f t="shared" si="2"/>
        <v>-4.7387933775233648E-4</v>
      </c>
    </row>
    <row r="12" spans="2:16">
      <c r="B12" s="24" t="s">
        <v>47</v>
      </c>
      <c r="C12" s="34">
        <v>24791372623</v>
      </c>
      <c r="D12" s="34">
        <v>24590167541</v>
      </c>
      <c r="E12" s="34">
        <v>178478865</v>
      </c>
      <c r="F12" s="35">
        <v>5958504734</v>
      </c>
      <c r="G12" s="34">
        <v>5684960529</v>
      </c>
      <c r="H12" s="34">
        <v>5390568439</v>
      </c>
      <c r="I12" s="34">
        <v>5091288225</v>
      </c>
      <c r="J12" s="35">
        <v>4816258944</v>
      </c>
      <c r="K12" s="34">
        <v>4523393584</v>
      </c>
      <c r="L12" s="34"/>
      <c r="M12" s="34"/>
      <c r="N12" s="34"/>
      <c r="O12" s="49">
        <f t="shared" si="1"/>
        <v>-0.20432278097176571</v>
      </c>
      <c r="P12" s="29">
        <f t="shared" si="2"/>
        <v>-6.0807644149791007E-2</v>
      </c>
    </row>
    <row r="13" spans="2:16">
      <c r="B13" s="24" t="s">
        <v>48</v>
      </c>
      <c r="C13" s="34">
        <v>269547489</v>
      </c>
      <c r="D13" s="34">
        <v>253713935</v>
      </c>
      <c r="E13" s="34">
        <v>238701421</v>
      </c>
      <c r="F13" s="35">
        <v>662600492</v>
      </c>
      <c r="G13" s="34">
        <v>964598781</v>
      </c>
      <c r="H13" s="34">
        <v>1277952031</v>
      </c>
      <c r="I13" s="34">
        <v>1167315351</v>
      </c>
      <c r="J13" s="35">
        <v>1058407436</v>
      </c>
      <c r="K13" s="34">
        <v>958305114</v>
      </c>
      <c r="L13" s="34"/>
      <c r="M13" s="34"/>
      <c r="N13" s="34"/>
      <c r="O13" s="49">
        <f t="shared" si="1"/>
        <v>-6.524647474129508E-3</v>
      </c>
      <c r="P13" s="29">
        <f t="shared" si="2"/>
        <v>-9.4578248975945356E-2</v>
      </c>
    </row>
    <row r="14" spans="2:16">
      <c r="B14" s="24" t="s">
        <v>49</v>
      </c>
      <c r="C14" s="34">
        <v>8645673014</v>
      </c>
      <c r="D14" s="34">
        <v>10415656644</v>
      </c>
      <c r="E14" s="34">
        <v>13477916796</v>
      </c>
      <c r="F14" s="35">
        <v>9939808611</v>
      </c>
      <c r="G14" s="34">
        <v>10702518579</v>
      </c>
      <c r="H14" s="34">
        <v>10537091424</v>
      </c>
      <c r="I14" s="34">
        <v>11119365490</v>
      </c>
      <c r="J14" s="35">
        <v>8645164794</v>
      </c>
      <c r="K14" s="34">
        <f>K9-SUM(K10:K13)</f>
        <v>9040594908</v>
      </c>
      <c r="L14" s="34"/>
      <c r="M14" s="34"/>
      <c r="N14" s="34"/>
      <c r="O14" s="49">
        <f t="shared" si="1"/>
        <v>-0.15528341845263893</v>
      </c>
      <c r="P14" s="29">
        <f t="shared" si="2"/>
        <v>4.5740031962657302E-2</v>
      </c>
    </row>
    <row r="15" spans="2:16">
      <c r="B15" s="11" t="s">
        <v>50</v>
      </c>
      <c r="C15" s="6">
        <f t="shared" ref="C15:J15" si="4">C4+C9</f>
        <v>76571690522</v>
      </c>
      <c r="D15" s="6">
        <f t="shared" si="4"/>
        <v>75396785147</v>
      </c>
      <c r="E15" s="6">
        <f t="shared" si="4"/>
        <v>78351631599</v>
      </c>
      <c r="F15" s="16">
        <f t="shared" si="4"/>
        <v>81738052604</v>
      </c>
      <c r="G15" s="6">
        <f t="shared" si="4"/>
        <v>78208175743</v>
      </c>
      <c r="H15" s="6">
        <f t="shared" si="4"/>
        <v>76218168114</v>
      </c>
      <c r="I15" s="6">
        <f t="shared" si="4"/>
        <v>76319866929</v>
      </c>
      <c r="J15" s="16">
        <f t="shared" si="4"/>
        <v>73482151228</v>
      </c>
      <c r="K15" s="6">
        <f>K4+K9</f>
        <v>70832883877</v>
      </c>
      <c r="L15" s="6"/>
      <c r="M15" s="6"/>
      <c r="N15" s="6"/>
      <c r="O15" s="47">
        <f t="shared" si="1"/>
        <v>-9.4303335884421524E-2</v>
      </c>
      <c r="P15" s="31">
        <f t="shared" si="2"/>
        <v>-3.6053208932055769E-2</v>
      </c>
    </row>
    <row r="16" spans="2:16">
      <c r="B16" s="11" t="s">
        <v>51</v>
      </c>
      <c r="C16" s="6">
        <f>SUM(C17:C20)</f>
        <v>12662845360</v>
      </c>
      <c r="D16" s="6">
        <f t="shared" ref="D16:J16" si="5">SUM(D17:D20)</f>
        <v>13341746813</v>
      </c>
      <c r="E16" s="6">
        <f t="shared" si="5"/>
        <v>13852090057</v>
      </c>
      <c r="F16" s="16">
        <f t="shared" si="5"/>
        <v>17323998740</v>
      </c>
      <c r="G16" s="6">
        <f t="shared" si="5"/>
        <v>14692806307</v>
      </c>
      <c r="H16" s="6">
        <f t="shared" si="5"/>
        <v>14962778876</v>
      </c>
      <c r="I16" s="6">
        <f t="shared" si="5"/>
        <v>15315578059</v>
      </c>
      <c r="J16" s="16">
        <f t="shared" si="5"/>
        <v>37759544300</v>
      </c>
      <c r="K16" s="6">
        <v>36509620357</v>
      </c>
      <c r="L16" s="6"/>
      <c r="M16" s="6"/>
      <c r="N16" s="6"/>
      <c r="O16" s="47">
        <f t="shared" si="1"/>
        <v>1.4848636532835768</v>
      </c>
      <c r="P16" s="31">
        <f t="shared" si="2"/>
        <v>-3.310219882605947E-2</v>
      </c>
    </row>
    <row r="17" spans="2:16">
      <c r="B17" s="24" t="s">
        <v>72</v>
      </c>
      <c r="C17" s="34">
        <v>9778104455</v>
      </c>
      <c r="D17" s="34">
        <v>10620630865</v>
      </c>
      <c r="E17" s="34">
        <v>11038374833</v>
      </c>
      <c r="F17" s="35">
        <v>13495530667</v>
      </c>
      <c r="G17" s="34">
        <v>10707507537</v>
      </c>
      <c r="H17" s="34">
        <v>11237227804</v>
      </c>
      <c r="I17" s="34">
        <v>11844266088</v>
      </c>
      <c r="J17" s="35">
        <v>11908426203</v>
      </c>
      <c r="K17" s="34">
        <v>10064948621</v>
      </c>
      <c r="L17" s="34"/>
      <c r="M17" s="34"/>
      <c r="N17" s="34"/>
      <c r="O17" s="49">
        <f t="shared" si="1"/>
        <v>-6.0010129694480718E-2</v>
      </c>
      <c r="P17" s="29">
        <f t="shared" si="2"/>
        <v>-0.15480446790992297</v>
      </c>
    </row>
    <row r="18" spans="2:16">
      <c r="B18" s="24" t="s">
        <v>61</v>
      </c>
      <c r="C18" s="34">
        <v>1000000000</v>
      </c>
      <c r="D18" s="34">
        <v>1000000000</v>
      </c>
      <c r="E18" s="34">
        <v>1000000000</v>
      </c>
      <c r="F18" s="35">
        <v>1000000000</v>
      </c>
      <c r="G18" s="34">
        <v>1000000000</v>
      </c>
      <c r="H18" s="34">
        <v>1000000000</v>
      </c>
      <c r="I18" s="34">
        <v>1000000000</v>
      </c>
      <c r="J18" s="35">
        <v>22752846900</v>
      </c>
      <c r="K18" s="34">
        <v>23471214670</v>
      </c>
      <c r="L18" s="34"/>
      <c r="M18" s="34"/>
      <c r="N18" s="34"/>
      <c r="O18" s="49">
        <f t="shared" si="1"/>
        <v>22.471214669999998</v>
      </c>
      <c r="P18" s="29">
        <f t="shared" si="2"/>
        <v>3.1572654321336824E-2</v>
      </c>
    </row>
    <row r="19" spans="2:16">
      <c r="B19" s="24" t="s">
        <v>62</v>
      </c>
      <c r="C19" s="34">
        <v>104228102</v>
      </c>
      <c r="D19" s="34">
        <v>0</v>
      </c>
      <c r="E19" s="34">
        <v>0</v>
      </c>
      <c r="F19" s="35">
        <v>481495149</v>
      </c>
      <c r="G19" s="34">
        <v>1112379750</v>
      </c>
      <c r="H19" s="34">
        <v>1115412496</v>
      </c>
      <c r="I19" s="34">
        <v>1125486025</v>
      </c>
      <c r="J19" s="35">
        <v>1142710519</v>
      </c>
      <c r="K19" s="34">
        <v>1145750905</v>
      </c>
      <c r="L19" s="34"/>
      <c r="M19" s="34"/>
      <c r="N19" s="34"/>
      <c r="O19" s="49">
        <f t="shared" si="1"/>
        <v>2.9999786493775993E-2</v>
      </c>
      <c r="P19" s="29">
        <f t="shared" si="2"/>
        <v>2.6606791041536848E-3</v>
      </c>
    </row>
    <row r="20" spans="2:16">
      <c r="B20" s="24" t="s">
        <v>53</v>
      </c>
      <c r="C20" s="34">
        <v>1780512803</v>
      </c>
      <c r="D20" s="34">
        <v>1721115948</v>
      </c>
      <c r="E20" s="34">
        <v>1813715224</v>
      </c>
      <c r="F20" s="35">
        <v>2346972924</v>
      </c>
      <c r="G20" s="34">
        <v>1872919020</v>
      </c>
      <c r="H20" s="34">
        <v>1610138576</v>
      </c>
      <c r="I20" s="34">
        <v>1345825946</v>
      </c>
      <c r="J20" s="35">
        <v>1955560678</v>
      </c>
      <c r="K20" s="34">
        <f>K16-SUM(K17:K19)</f>
        <v>1827706161</v>
      </c>
      <c r="L20" s="34"/>
      <c r="M20" s="34"/>
      <c r="N20" s="34"/>
      <c r="O20" s="49">
        <f t="shared" si="1"/>
        <v>-2.4140317075748374E-2</v>
      </c>
      <c r="P20" s="29">
        <f t="shared" si="2"/>
        <v>-6.5379979480237882E-2</v>
      </c>
    </row>
    <row r="21" spans="2:16">
      <c r="B21" s="11" t="s">
        <v>54</v>
      </c>
      <c r="C21" s="6">
        <f>SUM(C22:C24)</f>
        <v>22276824120</v>
      </c>
      <c r="D21" s="6">
        <f t="shared" ref="D21:J21" si="6">SUM(D22:D24)</f>
        <v>23311893710</v>
      </c>
      <c r="E21" s="6">
        <f t="shared" si="6"/>
        <v>25455820330</v>
      </c>
      <c r="F21" s="16">
        <f t="shared" si="6"/>
        <v>26978765419</v>
      </c>
      <c r="G21" s="6">
        <f t="shared" si="6"/>
        <v>26673621551</v>
      </c>
      <c r="H21" s="6">
        <f t="shared" si="6"/>
        <v>26344102906</v>
      </c>
      <c r="I21" s="6">
        <f t="shared" si="6"/>
        <v>26481664301</v>
      </c>
      <c r="J21" s="16">
        <f t="shared" si="6"/>
        <v>3472105784</v>
      </c>
      <c r="K21" s="6">
        <v>3267011702</v>
      </c>
      <c r="L21" s="6"/>
      <c r="M21" s="6"/>
      <c r="N21" s="6"/>
      <c r="O21" s="47">
        <f t="shared" si="1"/>
        <v>-0.87751900521819026</v>
      </c>
      <c r="P21" s="31">
        <f t="shared" si="2"/>
        <v>-5.9069076450696034E-2</v>
      </c>
    </row>
    <row r="22" spans="2:16">
      <c r="B22" s="24" t="s">
        <v>63</v>
      </c>
      <c r="C22" s="34">
        <v>22176824120</v>
      </c>
      <c r="D22" s="34">
        <v>23311893710</v>
      </c>
      <c r="E22" s="34">
        <v>25455820330</v>
      </c>
      <c r="F22" s="35">
        <v>22380008430</v>
      </c>
      <c r="G22" s="34">
        <v>22745782370</v>
      </c>
      <c r="H22" s="34">
        <v>22647617040</v>
      </c>
      <c r="I22" s="34">
        <v>22937473640</v>
      </c>
      <c r="J22" s="35">
        <v>0</v>
      </c>
      <c r="K22" s="34"/>
      <c r="L22" s="34"/>
      <c r="M22" s="34"/>
      <c r="N22" s="34"/>
      <c r="O22" s="49">
        <f t="shared" si="1"/>
        <v>-1</v>
      </c>
      <c r="P22" s="29" t="str">
        <f t="shared" si="2"/>
        <v>n/a</v>
      </c>
    </row>
    <row r="23" spans="2:16">
      <c r="B23" s="24" t="s">
        <v>52</v>
      </c>
      <c r="C23" s="34">
        <v>0</v>
      </c>
      <c r="D23" s="34">
        <v>0</v>
      </c>
      <c r="E23" s="34">
        <v>0</v>
      </c>
      <c r="F23" s="35">
        <v>4357804990</v>
      </c>
      <c r="G23" s="34">
        <v>3683033312</v>
      </c>
      <c r="H23" s="34">
        <v>3447720755</v>
      </c>
      <c r="I23" s="34">
        <v>3291358055</v>
      </c>
      <c r="J23" s="35">
        <v>3215094471</v>
      </c>
      <c r="K23" s="34">
        <v>2956907430</v>
      </c>
      <c r="L23" s="34"/>
      <c r="M23" s="34"/>
      <c r="N23" s="34"/>
      <c r="O23" s="49">
        <f t="shared" si="1"/>
        <v>-0.19715430746557416</v>
      </c>
      <c r="P23" s="29">
        <f t="shared" si="2"/>
        <v>-8.0304651489663814E-2</v>
      </c>
    </row>
    <row r="24" spans="2:16">
      <c r="B24" s="24" t="s">
        <v>64</v>
      </c>
      <c r="C24" s="34">
        <v>100000000</v>
      </c>
      <c r="D24" s="34">
        <v>0</v>
      </c>
      <c r="E24" s="34">
        <v>0</v>
      </c>
      <c r="F24" s="35">
        <v>240951999</v>
      </c>
      <c r="G24" s="34">
        <v>244805869</v>
      </c>
      <c r="H24" s="34">
        <v>248765111</v>
      </c>
      <c r="I24" s="34">
        <v>252832606</v>
      </c>
      <c r="J24" s="35">
        <v>257011313</v>
      </c>
      <c r="K24" s="34">
        <f>K21-K22-K23</f>
        <v>310104272</v>
      </c>
      <c r="L24" s="34"/>
      <c r="M24" s="34"/>
      <c r="N24" s="34"/>
      <c r="O24" s="49">
        <f t="shared" si="1"/>
        <v>0.26673544742507782</v>
      </c>
      <c r="P24" s="29">
        <f t="shared" si="2"/>
        <v>0.20657829564101715</v>
      </c>
    </row>
    <row r="25" spans="2:16">
      <c r="B25" s="11" t="s">
        <v>55</v>
      </c>
      <c r="C25" s="6">
        <f>C16+C21</f>
        <v>34939669480</v>
      </c>
      <c r="D25" s="6">
        <f t="shared" ref="D25:J25" si="7">D16+D21</f>
        <v>36653640523</v>
      </c>
      <c r="E25" s="6">
        <f t="shared" si="7"/>
        <v>39307910387</v>
      </c>
      <c r="F25" s="16">
        <f t="shared" si="7"/>
        <v>44302764159</v>
      </c>
      <c r="G25" s="6">
        <f t="shared" si="7"/>
        <v>41366427858</v>
      </c>
      <c r="H25" s="6">
        <f t="shared" si="7"/>
        <v>41306881782</v>
      </c>
      <c r="I25" s="6">
        <f t="shared" si="7"/>
        <v>41797242360</v>
      </c>
      <c r="J25" s="16">
        <f t="shared" si="7"/>
        <v>41231650084</v>
      </c>
      <c r="K25" s="6">
        <f>K16+K21</f>
        <v>39776632059</v>
      </c>
      <c r="L25" s="6"/>
      <c r="M25" s="6"/>
      <c r="N25" s="6"/>
      <c r="O25" s="47">
        <f t="shared" si="1"/>
        <v>-3.8432030062091616E-2</v>
      </c>
      <c r="P25" s="31">
        <f t="shared" si="2"/>
        <v>-3.5288862367519491E-2</v>
      </c>
    </row>
    <row r="26" spans="2:16">
      <c r="B26" s="24" t="s">
        <v>65</v>
      </c>
      <c r="C26" s="34">
        <v>848771300</v>
      </c>
      <c r="D26" s="34">
        <v>1697542600</v>
      </c>
      <c r="E26" s="34">
        <v>1697542600</v>
      </c>
      <c r="F26" s="35">
        <v>1697542600</v>
      </c>
      <c r="G26" s="34">
        <v>1697542600</v>
      </c>
      <c r="H26" s="34">
        <v>1697542600</v>
      </c>
      <c r="I26" s="34">
        <v>1697542600</v>
      </c>
      <c r="J26" s="35">
        <v>1697542600</v>
      </c>
      <c r="K26" s="34">
        <v>1697542600</v>
      </c>
      <c r="L26" s="34"/>
      <c r="M26" s="34"/>
      <c r="N26" s="34"/>
      <c r="O26" s="49">
        <f t="shared" si="1"/>
        <v>0</v>
      </c>
      <c r="P26" s="29">
        <f t="shared" si="2"/>
        <v>0</v>
      </c>
    </row>
    <row r="27" spans="2:16">
      <c r="B27" s="24" t="s">
        <v>66</v>
      </c>
      <c r="C27" s="34">
        <v>35420272858</v>
      </c>
      <c r="D27" s="34">
        <v>34550549878</v>
      </c>
      <c r="E27" s="34">
        <v>34550549878</v>
      </c>
      <c r="F27" s="35">
        <v>34550549878</v>
      </c>
      <c r="G27" s="34">
        <v>27550549878</v>
      </c>
      <c r="H27" s="34">
        <v>27550549878</v>
      </c>
      <c r="I27" s="34">
        <v>27550549878</v>
      </c>
      <c r="J27" s="35">
        <v>27550549878</v>
      </c>
      <c r="K27" s="34">
        <v>27550549878</v>
      </c>
      <c r="L27" s="34"/>
      <c r="M27" s="34"/>
      <c r="N27" s="34"/>
      <c r="O27" s="49">
        <f t="shared" si="1"/>
        <v>0</v>
      </c>
      <c r="P27" s="29">
        <f t="shared" si="2"/>
        <v>0</v>
      </c>
    </row>
    <row r="28" spans="2:16">
      <c r="B28" s="24" t="s">
        <v>56</v>
      </c>
      <c r="C28" s="34">
        <v>22043258</v>
      </c>
      <c r="D28" s="34">
        <v>-3463375702</v>
      </c>
      <c r="E28" s="34">
        <v>-3453196567</v>
      </c>
      <c r="F28" s="35">
        <v>-3465182790</v>
      </c>
      <c r="G28" s="36">
        <v>-3462172668</v>
      </c>
      <c r="H28" s="34">
        <v>-5172539586</v>
      </c>
      <c r="I28" s="34">
        <v>-5169971514</v>
      </c>
      <c r="J28" s="35">
        <v>-5755978201</v>
      </c>
      <c r="K28" s="34">
        <v>-5751410073</v>
      </c>
      <c r="L28" s="34"/>
      <c r="M28" s="34"/>
      <c r="N28" s="34"/>
      <c r="O28" s="49">
        <f t="shared" si="1"/>
        <v>0.66121410585868556</v>
      </c>
      <c r="P28" s="29">
        <f t="shared" si="2"/>
        <v>-7.9363191459036475E-4</v>
      </c>
    </row>
    <row r="29" spans="2:16">
      <c r="B29" s="24" t="s">
        <v>57</v>
      </c>
      <c r="C29" s="34">
        <v>5340933626</v>
      </c>
      <c r="D29" s="34">
        <v>5958427848</v>
      </c>
      <c r="E29" s="34">
        <v>6248825301</v>
      </c>
      <c r="F29" s="35">
        <v>4652378757</v>
      </c>
      <c r="G29" s="34">
        <v>11055828075</v>
      </c>
      <c r="H29" s="34">
        <v>10835733440</v>
      </c>
      <c r="I29" s="34">
        <v>10444503605</v>
      </c>
      <c r="J29" s="35">
        <v>8758386867</v>
      </c>
      <c r="K29" s="34">
        <v>7559569413</v>
      </c>
      <c r="L29" s="34"/>
      <c r="M29" s="34"/>
      <c r="N29" s="34"/>
      <c r="O29" s="49">
        <f t="shared" si="1"/>
        <v>-0.31623670685562832</v>
      </c>
      <c r="P29" s="29">
        <f t="shared" si="2"/>
        <v>-0.1368765130159898</v>
      </c>
    </row>
    <row r="30" spans="2:16">
      <c r="B30" s="37" t="s">
        <v>58</v>
      </c>
      <c r="C30" s="6">
        <f>SUM(C26:C29)</f>
        <v>41632021042</v>
      </c>
      <c r="D30" s="6">
        <f t="shared" ref="D30:J30" si="8">SUM(D26:D29)</f>
        <v>38743144624</v>
      </c>
      <c r="E30" s="6">
        <f t="shared" si="8"/>
        <v>39043721212</v>
      </c>
      <c r="F30" s="16">
        <f t="shared" si="8"/>
        <v>37435288445</v>
      </c>
      <c r="G30" s="6">
        <f t="shared" si="8"/>
        <v>36841747885</v>
      </c>
      <c r="H30" s="6">
        <f t="shared" si="8"/>
        <v>34911286332</v>
      </c>
      <c r="I30" s="6">
        <f t="shared" si="8"/>
        <v>34522624569</v>
      </c>
      <c r="J30" s="16">
        <f t="shared" si="8"/>
        <v>32250501144</v>
      </c>
      <c r="K30" s="6">
        <f>SUM(K26:K29)</f>
        <v>31056251818</v>
      </c>
      <c r="L30" s="6"/>
      <c r="M30" s="6"/>
      <c r="N30" s="6"/>
      <c r="O30" s="47">
        <f t="shared" si="1"/>
        <v>-0.15703641654188583</v>
      </c>
      <c r="P30" s="31">
        <f t="shared" si="2"/>
        <v>-3.7030411424232468E-2</v>
      </c>
    </row>
    <row r="31" spans="2:16">
      <c r="B31" s="14" t="s">
        <v>67</v>
      </c>
      <c r="C31" s="9">
        <f>C25+C30</f>
        <v>76571690522</v>
      </c>
      <c r="D31" s="9">
        <f t="shared" ref="D31:J31" si="9">D25+D30</f>
        <v>75396785147</v>
      </c>
      <c r="E31" s="9">
        <f t="shared" si="9"/>
        <v>78351631599</v>
      </c>
      <c r="F31" s="19">
        <f t="shared" si="9"/>
        <v>81738052604</v>
      </c>
      <c r="G31" s="9">
        <f t="shared" si="9"/>
        <v>78208175743</v>
      </c>
      <c r="H31" s="9">
        <f t="shared" si="9"/>
        <v>76218168114</v>
      </c>
      <c r="I31" s="9">
        <f t="shared" si="9"/>
        <v>76319866929</v>
      </c>
      <c r="J31" s="19">
        <f t="shared" si="9"/>
        <v>73482151228</v>
      </c>
      <c r="K31" s="9">
        <f>K30+K25</f>
        <v>70832883877</v>
      </c>
      <c r="L31" s="9"/>
      <c r="M31" s="9"/>
      <c r="N31" s="9"/>
      <c r="O31" s="51">
        <f t="shared" si="1"/>
        <v>-9.4303335884421524E-2</v>
      </c>
      <c r="P31" s="33">
        <f t="shared" si="2"/>
        <v>-3.6053208932055769E-2</v>
      </c>
    </row>
    <row r="32" spans="2:16">
      <c r="E32" s="1"/>
    </row>
    <row r="33" spans="3:5">
      <c r="C33" s="2"/>
      <c r="E33" s="2"/>
    </row>
  </sheetData>
  <mergeCells count="1">
    <mergeCell ref="B1:P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연결IS </vt:lpstr>
      <vt:lpstr>연결BS</vt:lpstr>
      <vt:lpstr>별도IS</vt:lpstr>
      <vt:lpstr>별도BS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김주희</dc:creator>
  <cp:lastModifiedBy>김주희</cp:lastModifiedBy>
  <dcterms:created xsi:type="dcterms:W3CDTF">2024-03-15T07:23:44Z</dcterms:created>
  <dcterms:modified xsi:type="dcterms:W3CDTF">2024-05-15T11:11:59Z</dcterms:modified>
</cp:coreProperties>
</file>